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240" yWindow="30" windowWidth="6345" windowHeight="3825" activeTab="0"/>
  </bookViews>
  <sheets>
    <sheet name="Registro" sheetId="7221" r:id="rId1"/>
    <sheet name="79-80" sheetId="1" r:id="rId2"/>
    <sheet name="81" sheetId="2" r:id="rId3"/>
    <sheet name="82-125" sheetId="3" r:id="rId4"/>
    <sheet name="126-127" sheetId="7220" r:id="rId5"/>
  </sheets>
  <externalReferences>
    <externalReference r:id="rId8"/>
    <externalReference r:id="rId9"/>
    <externalReference r:id="rId10"/>
    <externalReference r:id="rId11"/>
    <externalReference r:id="rId12"/>
    <externalReference r:id="rId13"/>
  </externalReferences>
  <definedNames>
    <definedName name="ficha">#REF!</definedName>
    <definedName name="_Ind137">'[5]Hoja1'!$D$312</definedName>
    <definedName name="_Ind16">'[5]Hoja1'!$D$96</definedName>
    <definedName name="_Ind18" localSheetId="0">#REF!</definedName>
    <definedName name="_Ind18">'[5]Hoja1'!$D$50</definedName>
    <definedName name="_Ind204">'[5]Hoja1'!$D$139</definedName>
    <definedName name="_Ind302">#REF!</definedName>
    <definedName name="_Ind303">'[3]Hoja1'!$AJ$5</definedName>
    <definedName name="_Ind304">#REF!</definedName>
    <definedName name="_Ind305">#REF!</definedName>
    <definedName name="_Ind306">#REF!</definedName>
    <definedName name="_Ind307">#REF!</definedName>
    <definedName name="_Ind35">'[5]Hoja1'!$D$182</definedName>
    <definedName name="_Ind4">'[5]Hoja1'!$D$7</definedName>
    <definedName name="_Ind40">'[5]Hoja1'!$D$225</definedName>
    <definedName name="_Ind45">'[5]Hoja1'!$D$268</definedName>
    <definedName name="_ind58">'[2]Hoja1'!$D$53</definedName>
    <definedName name="_Ind82">'82-125'!$D$5</definedName>
    <definedName name="_Ind83">'[4]Hoja1'!$J$5</definedName>
    <definedName name="_Ind84">'[4]Hoja1'!$P$5</definedName>
    <definedName name="_Ind85">'[4]Hoja1'!$V$5</definedName>
    <definedName name="_Ind86">'[4]Hoja1'!$AB$5</definedName>
    <definedName name="_Ind87">'[4]Hoja1'!$AH$5</definedName>
    <definedName name="_Ind88">'[4]Hoja1'!$AN$5</definedName>
    <definedName name="_Ind89">'[4]Hoja1'!$AT$5</definedName>
    <definedName name="_Ind90">'[4]Hoja1'!$AZ$5</definedName>
    <definedName name="_Ins303">#REF!</definedName>
  </definedNames>
  <calcPr calcId="125725"/>
</workbook>
</file>

<file path=xl/sharedStrings.xml><?xml version="1.0" encoding="utf-8"?>
<sst xmlns="http://schemas.openxmlformats.org/spreadsheetml/2006/main" count="991" uniqueCount="282">
  <si>
    <t>calidad ambiental</t>
  </si>
  <si>
    <t>CA=0</t>
  </si>
  <si>
    <t>Indicador:</t>
  </si>
  <si>
    <t>unidad del indicador:</t>
  </si>
  <si>
    <t>rango de valores del indicador:</t>
  </si>
  <si>
    <t>función de transformación:</t>
  </si>
  <si>
    <t>valor del indicador</t>
  </si>
  <si>
    <t>nº de indicador:</t>
  </si>
  <si>
    <t>representación de la función de transformación</t>
  </si>
  <si>
    <t>valor del  indicador</t>
  </si>
  <si>
    <t>fórmula del indicador</t>
  </si>
  <si>
    <t>Tipo de indicador</t>
  </si>
  <si>
    <t>CA=1</t>
  </si>
  <si>
    <t>0&lt;I&lt;50</t>
  </si>
  <si>
    <t>50&lt;I&lt;100</t>
  </si>
  <si>
    <t>I&lt;100</t>
  </si>
  <si>
    <t>CA=-1E-4I^2+1</t>
  </si>
  <si>
    <t>% de pérdidas con respecto a la cantidad de recurso disponible</t>
  </si>
  <si>
    <t>% de pérdidas de agua en la cuenca hirológica</t>
  </si>
  <si>
    <t>% de aumento de la superficie inundable (para un periodo de retorno de 100 años) al modificar la sección del caudal mediante la colocacion de barreras en él.</t>
  </si>
  <si>
    <t>CA=-4E-4I^2+4E-2I</t>
  </si>
  <si>
    <t>0 - 100</t>
  </si>
  <si>
    <t>En el recuadro verde</t>
  </si>
  <si>
    <t xml:space="preserve">Índice de calidad general (ICG). </t>
  </si>
  <si>
    <t>CA=-1,25E-04*I^2+3,88E-02*I-1,63</t>
  </si>
  <si>
    <r>
      <t xml:space="preserve"> ICG = </t>
    </r>
    <r>
      <rPr>
        <sz val="11"/>
        <rFont val="Symbol"/>
        <family val="1"/>
      </rPr>
      <t>å</t>
    </r>
    <r>
      <rPr>
        <sz val="11"/>
        <rFont val="Palatino Linotype"/>
        <family val="1"/>
      </rPr>
      <t xml:space="preserve"> Q</t>
    </r>
    <r>
      <rPr>
        <vertAlign val="subscript"/>
        <sz val="11"/>
        <rFont val="Palatino Linotype"/>
        <family val="1"/>
      </rPr>
      <t>i</t>
    </r>
    <r>
      <rPr>
        <sz val="11"/>
        <rFont val="Palatino Linotype"/>
        <family val="1"/>
      </rPr>
      <t xml:space="preserve"> x P</t>
    </r>
    <r>
      <rPr>
        <vertAlign val="subscript"/>
        <sz val="11"/>
        <rFont val="Palatino Linotype"/>
        <family val="1"/>
      </rPr>
      <t>i</t>
    </r>
    <r>
      <rPr>
        <sz val="11"/>
        <rFont val="Palatino Linotype"/>
        <family val="1"/>
      </rPr>
      <t xml:space="preserve"> / </t>
    </r>
    <r>
      <rPr>
        <sz val="11"/>
        <rFont val="Symbol"/>
        <family val="1"/>
      </rPr>
      <t>å</t>
    </r>
    <r>
      <rPr>
        <sz val="11"/>
        <rFont val="Palatino Linotype"/>
        <family val="1"/>
      </rPr>
      <t xml:space="preserve"> P</t>
    </r>
    <r>
      <rPr>
        <vertAlign val="subscript"/>
        <sz val="11"/>
        <rFont val="Palatino Linotype"/>
        <family val="1"/>
      </rPr>
      <t>i</t>
    </r>
  </si>
  <si>
    <t>0&lt;I&lt;5</t>
  </si>
  <si>
    <t>CA=-2,13E-04*I^2-9,33E-02*I+1</t>
  </si>
  <si>
    <t>0,2&lt;I&lt;1</t>
  </si>
  <si>
    <t>1&lt;I&lt;5</t>
  </si>
  <si>
    <t>Calidad del agua superficial desde el punto de vista de la potabilidad (verano)</t>
  </si>
  <si>
    <t>Calidad del agua superficial desde el punto de vista de la potabilidad (primavera-otoño)</t>
  </si>
  <si>
    <t>CA=-3,33E-02*I^2-5E-02*I+1,08</t>
  </si>
  <si>
    <t>CA=5,56*I^2-2,22*I+2,22E-01</t>
  </si>
  <si>
    <t>0,2&lt;I&lt;0,5</t>
  </si>
  <si>
    <t>CA=-2*I^2+4I-1</t>
  </si>
  <si>
    <t>0,5&lt;I&lt;1</t>
  </si>
  <si>
    <t>CA=-3,333E-02*I^2-5E-02*I+1,08</t>
  </si>
  <si>
    <t>CA=(-1,56*I^2)+(3,127*I)-0,563</t>
  </si>
  <si>
    <t>CA=(-0,0333*I^2) -(0,05*I) + 1,08</t>
  </si>
  <si>
    <t>Calidad del agua: color</t>
  </si>
  <si>
    <t>CA=1,56E-02*I+1</t>
  </si>
  <si>
    <t>CA=-5E-03*I+8E-01</t>
  </si>
  <si>
    <t>CA=-3E-03*I+6E-01</t>
  </si>
  <si>
    <t>0&lt;I&lt;20</t>
  </si>
  <si>
    <t>20&lt;I&lt;100</t>
  </si>
  <si>
    <t>100&lt;I&lt;200</t>
  </si>
  <si>
    <t>0&lt;I&lt;2</t>
  </si>
  <si>
    <t>2&lt;I&lt;6</t>
  </si>
  <si>
    <t>CA=-3E-02*I^2-6E-02*I+1</t>
  </si>
  <si>
    <t>CA=-1,9E-01*I+1,140</t>
  </si>
  <si>
    <t>Calidad el agua: pH</t>
  </si>
  <si>
    <t>4&lt;I&lt;7</t>
  </si>
  <si>
    <t>CA=8,89E-02*I^2-6,44E-01*I+1,154</t>
  </si>
  <si>
    <t>CA=-2E-01*I+2,4</t>
  </si>
  <si>
    <t>7&lt;I&lt;8,5</t>
  </si>
  <si>
    <t>CA=-4,67E-01*I+4,67</t>
  </si>
  <si>
    <t>8,5&lt;I&lt;10</t>
  </si>
  <si>
    <t>0&lt;I&lt;36</t>
  </si>
  <si>
    <t>36&lt;I&lt;131</t>
  </si>
  <si>
    <t>131&lt;I&lt;140</t>
  </si>
  <si>
    <r>
      <t>Demanda biológica de oxígeno (DBO)</t>
    </r>
    <r>
      <rPr>
        <vertAlign val="subscript"/>
        <sz val="8"/>
        <rFont val="Arial"/>
        <family val="2"/>
      </rPr>
      <t>5</t>
    </r>
  </si>
  <si>
    <r>
      <t>mg l</t>
    </r>
    <r>
      <rPr>
        <vertAlign val="superscript"/>
        <sz val="8"/>
        <rFont val="Arial"/>
        <family val="2"/>
      </rPr>
      <t xml:space="preserve">-1  </t>
    </r>
    <r>
      <rPr>
        <sz val="8"/>
        <rFont val="Arial"/>
        <family val="2"/>
      </rPr>
      <t>de   O</t>
    </r>
    <r>
      <rPr>
        <vertAlign val="subscript"/>
        <sz val="8"/>
        <rFont val="Arial"/>
        <family val="2"/>
      </rPr>
      <t>2</t>
    </r>
  </si>
  <si>
    <t>0 - 6</t>
  </si>
  <si>
    <r>
      <t>Oxidabilidad al MnO</t>
    </r>
    <r>
      <rPr>
        <vertAlign val="subscript"/>
        <sz val="8"/>
        <rFont val="Arial"/>
        <family val="2"/>
      </rPr>
      <t>4</t>
    </r>
    <r>
      <rPr>
        <sz val="8"/>
        <rFont val="Arial"/>
        <family val="2"/>
      </rPr>
      <t>K</t>
    </r>
  </si>
  <si>
    <t>0 - 5</t>
  </si>
  <si>
    <t>2 (T=0,25)</t>
  </si>
  <si>
    <t>Índice de caracterización de tratamientos (ICT)</t>
  </si>
  <si>
    <t>CA=-0,0139*I+1</t>
  </si>
  <si>
    <t>CA=(-0,00526*I)+0,689</t>
  </si>
  <si>
    <t>0&lt;I&lt;30</t>
  </si>
  <si>
    <t>0 - 140</t>
  </si>
  <si>
    <t>0 - 200</t>
  </si>
  <si>
    <t>0&lt;I&lt;25</t>
  </si>
  <si>
    <t>0&lt;I&lt;1</t>
  </si>
  <si>
    <t>0.2 - 5</t>
  </si>
  <si>
    <t>Calidad del agua superficial desde el punto de vista de la potabilidad (invierno)</t>
  </si>
  <si>
    <t>4 - 10</t>
  </si>
  <si>
    <t>Calidad el agua: sólidos en suspensión</t>
  </si>
  <si>
    <t>0 - 25</t>
  </si>
  <si>
    <t>CA=((-0,04)*I)+1</t>
  </si>
  <si>
    <r>
      <t>mg l</t>
    </r>
    <r>
      <rPr>
        <vertAlign val="superscript"/>
        <sz val="8"/>
        <rFont val="Arial"/>
        <family val="2"/>
      </rPr>
      <t>-1</t>
    </r>
  </si>
  <si>
    <t>CA=((-0,001)*I)+1</t>
  </si>
  <si>
    <t>0&lt;I&lt;1000</t>
  </si>
  <si>
    <t>Calidad del agua: conductividad eléctrica a 20º</t>
  </si>
  <si>
    <r>
      <t>µohm cm</t>
    </r>
    <r>
      <rPr>
        <vertAlign val="superscript"/>
        <sz val="8"/>
        <rFont val="Arial"/>
        <family val="2"/>
      </rPr>
      <t>-1</t>
    </r>
  </si>
  <si>
    <t>Calidad del agua: concentración de plaguicidad totales</t>
  </si>
  <si>
    <t>0 - 1000</t>
  </si>
  <si>
    <t>CA=(-0,3*I)+1</t>
  </si>
  <si>
    <t>CA=(-0,267*I)+0,967</t>
  </si>
  <si>
    <t>1&lt;I&lt;2,5</t>
  </si>
  <si>
    <t>CA=(-0,12*I)+0,6</t>
  </si>
  <si>
    <t>2,5&lt;I&lt;5</t>
  </si>
  <si>
    <r>
      <t>µg l</t>
    </r>
    <r>
      <rPr>
        <vertAlign val="superscript"/>
        <sz val="8"/>
        <rFont val="Arial"/>
        <family val="2"/>
      </rPr>
      <t>-1</t>
    </r>
  </si>
  <si>
    <t>CA=((-0,0333)*I)+1</t>
  </si>
  <si>
    <r>
      <t>mg I</t>
    </r>
    <r>
      <rPr>
        <vertAlign val="superscript"/>
        <sz val="8"/>
        <rFont val="Arial"/>
        <family val="2"/>
      </rPr>
      <t>-1</t>
    </r>
    <r>
      <rPr>
        <sz val="8"/>
        <rFont val="Arial"/>
        <family val="2"/>
      </rPr>
      <t xml:space="preserve"> O</t>
    </r>
    <r>
      <rPr>
        <vertAlign val="superscript"/>
        <sz val="8"/>
        <rFont val="Arial"/>
        <family val="2"/>
      </rPr>
      <t>2</t>
    </r>
  </si>
  <si>
    <r>
      <t>calidad del agua: demanda química de 0</t>
    </r>
    <r>
      <rPr>
        <vertAlign val="subscript"/>
        <sz val="8"/>
        <rFont val="Arial"/>
        <family val="2"/>
      </rPr>
      <t>2</t>
    </r>
    <r>
      <rPr>
        <sz val="8"/>
        <rFont val="Arial"/>
        <family val="2"/>
      </rPr>
      <t xml:space="preserve"> (DQO)</t>
    </r>
  </si>
  <si>
    <r>
      <t>mg I</t>
    </r>
    <r>
      <rPr>
        <vertAlign val="superscript"/>
        <sz val="8"/>
        <rFont val="Arial"/>
        <family val="2"/>
      </rPr>
      <t>-1</t>
    </r>
    <r>
      <rPr>
        <sz val="8"/>
        <rFont val="Arial"/>
        <family val="2"/>
      </rPr>
      <t xml:space="preserve"> O</t>
    </r>
    <r>
      <rPr>
        <vertAlign val="subscript"/>
        <sz val="8"/>
        <rFont val="Arial"/>
        <family val="2"/>
      </rPr>
      <t>2</t>
    </r>
  </si>
  <si>
    <t>0 - 30</t>
  </si>
  <si>
    <t>CA=(0,015*I)-0,45</t>
  </si>
  <si>
    <t>30&lt;I&lt;50</t>
  </si>
  <si>
    <t>calidad del agua: oxígeno disuelto</t>
  </si>
  <si>
    <t>CA=(0,02*I)-0,7</t>
  </si>
  <si>
    <t>50&lt;I&lt;70</t>
  </si>
  <si>
    <t>CA=0,01*I</t>
  </si>
  <si>
    <t>70&lt;I&lt;100</t>
  </si>
  <si>
    <t>% saturación</t>
  </si>
  <si>
    <t>30 - 100</t>
  </si>
  <si>
    <t>CA=(-0,1*I) + 1</t>
  </si>
  <si>
    <t>0&lt;I&lt;3</t>
  </si>
  <si>
    <t>CA=(-0,2*I) + 1,3</t>
  </si>
  <si>
    <t>3&lt;I&lt;5</t>
  </si>
  <si>
    <t>CA=(-0,15*I) + 1,05</t>
  </si>
  <si>
    <t>5&lt;x&lt;7</t>
  </si>
  <si>
    <r>
      <t>Calidad del agua: demanda bioquímica de O</t>
    </r>
    <r>
      <rPr>
        <vertAlign val="subscript"/>
        <sz val="8"/>
        <rFont val="Arial"/>
        <family val="2"/>
      </rPr>
      <t>2</t>
    </r>
    <r>
      <rPr>
        <sz val="8"/>
        <rFont val="Arial"/>
        <family val="2"/>
      </rPr>
      <t xml:space="preserve"> (DBO)</t>
    </r>
  </si>
  <si>
    <t>0 - 7</t>
  </si>
  <si>
    <t>CA=(-0,006*I) + 1</t>
  </si>
  <si>
    <t>Calidad del agua: concentración de coliformes totales</t>
  </si>
  <si>
    <t>CA=(-0,0000808*I) + 0,704</t>
  </si>
  <si>
    <t>50&lt;I&lt;5000</t>
  </si>
  <si>
    <t>CA=(-0,00000667*I) + 0,333</t>
  </si>
  <si>
    <t>5000&lt;x&lt;50000</t>
  </si>
  <si>
    <t>Nº / 100ml (a 37ºC)</t>
  </si>
  <si>
    <t>0 - 50000</t>
  </si>
  <si>
    <t>Calidad del agua: concentración de coliformes fecales</t>
  </si>
  <si>
    <t>Nº / 100ml</t>
  </si>
  <si>
    <t>0 - 20000</t>
  </si>
  <si>
    <t>CA=(-0,015*I) + 1</t>
  </si>
  <si>
    <t>CA=(-0,000202*I) + 0,704</t>
  </si>
  <si>
    <t>20&lt;I&lt;2000</t>
  </si>
  <si>
    <t>CA=(-0,0000167*I) + 0,333</t>
  </si>
  <si>
    <t>2000&lt;x&lt;20000</t>
  </si>
  <si>
    <t>CA=(-0,000408*I) + 0,708</t>
  </si>
  <si>
    <t>20&lt;I&lt;1000</t>
  </si>
  <si>
    <t>CA=(-0,0000333*I) + 0,33</t>
  </si>
  <si>
    <t>1000&lt;x&lt;10000</t>
  </si>
  <si>
    <t>0 - 10000</t>
  </si>
  <si>
    <t>Calidad del agua: concentración de salmonelas</t>
  </si>
  <si>
    <t>CA=0,0007*I</t>
  </si>
  <si>
    <t>CA=(0,000075*I)+0,625</t>
  </si>
  <si>
    <t>1000&lt;I&lt;3000</t>
  </si>
  <si>
    <t>0 - 3000</t>
  </si>
  <si>
    <t>Calidad del agua: concentración de detergentes</t>
  </si>
  <si>
    <t>0 - 1</t>
  </si>
  <si>
    <t>CA=(-1,5*I) + 1</t>
  </si>
  <si>
    <t>0&lt;I&lt;0,2</t>
  </si>
  <si>
    <t>CA=(-2,33*I)+1,170</t>
  </si>
  <si>
    <t>0 - 0,5</t>
  </si>
  <si>
    <r>
      <t>mg m</t>
    </r>
    <r>
      <rPr>
        <sz val="8"/>
        <rFont val="Arial"/>
        <family val="2"/>
      </rPr>
      <t>l</t>
    </r>
    <r>
      <rPr>
        <vertAlign val="superscript"/>
        <sz val="8"/>
        <rFont val="Arial"/>
        <family val="2"/>
      </rPr>
      <t>-1</t>
    </r>
    <r>
      <rPr>
        <sz val="8"/>
        <rFont val="Arial"/>
        <family val="2"/>
      </rPr>
      <t xml:space="preserve"> de laurilsulfato</t>
    </r>
  </si>
  <si>
    <t>Calidad del agua: concentración de nitrógeno Khedjal</t>
  </si>
  <si>
    <t>0 - 3</t>
  </si>
  <si>
    <t>CA=(-0,3*I) + 1</t>
  </si>
  <si>
    <t>CA=(0,4*I) + 1,1</t>
  </si>
  <si>
    <t>1&lt;I&lt;2</t>
  </si>
  <si>
    <t>CA=(0,3*I) + 0,9</t>
  </si>
  <si>
    <t>2&lt;I&lt;3</t>
  </si>
  <si>
    <r>
      <t xml:space="preserve">mgN </t>
    </r>
    <r>
      <rPr>
        <sz val="8"/>
        <rFont val="Arial"/>
        <family val="2"/>
      </rPr>
      <t>l</t>
    </r>
    <r>
      <rPr>
        <vertAlign val="superscript"/>
        <sz val="8"/>
        <rFont val="Arial"/>
        <family val="2"/>
      </rPr>
      <t>-1</t>
    </r>
  </si>
  <si>
    <t>Calidad del agua: concentración deamoniaco</t>
  </si>
  <si>
    <t>CA=(-6*I) + 1</t>
  </si>
  <si>
    <t>0&lt;I&lt;0,05</t>
  </si>
  <si>
    <t>CA=(-0,276*I) + 0,714</t>
  </si>
  <si>
    <t>0,05&lt;I&lt;1,5</t>
  </si>
  <si>
    <t>CA=(0,12*I) + 0,48</t>
  </si>
  <si>
    <t>1,5&lt;I&lt;4</t>
  </si>
  <si>
    <r>
      <t>mgNH</t>
    </r>
    <r>
      <rPr>
        <vertAlign val="subscript"/>
        <sz val="8"/>
        <rFont val="Arial"/>
        <family val="2"/>
      </rPr>
      <t>4</t>
    </r>
    <r>
      <rPr>
        <sz val="8"/>
        <rFont val="Arial"/>
        <family val="2"/>
      </rPr>
      <t xml:space="preserve"> </t>
    </r>
    <r>
      <rPr>
        <sz val="8"/>
        <rFont val="Arial"/>
        <family val="2"/>
      </rPr>
      <t>l</t>
    </r>
    <r>
      <rPr>
        <vertAlign val="superscript"/>
        <sz val="8"/>
        <rFont val="Arial"/>
        <family val="2"/>
      </rPr>
      <t>-1</t>
    </r>
  </si>
  <si>
    <t>0 - 4</t>
  </si>
  <si>
    <r>
      <t>mg</t>
    </r>
    <r>
      <rPr>
        <sz val="8"/>
        <rFont val="Arial"/>
        <family val="2"/>
      </rPr>
      <t xml:space="preserve"> </t>
    </r>
    <r>
      <rPr>
        <sz val="8"/>
        <rFont val="Arial"/>
        <family val="2"/>
      </rPr>
      <t>l</t>
    </r>
    <r>
      <rPr>
        <vertAlign val="superscript"/>
        <sz val="8"/>
        <rFont val="Arial"/>
        <family val="2"/>
      </rPr>
      <t>-1</t>
    </r>
  </si>
  <si>
    <t>CA=(-30*I) + 1</t>
  </si>
  <si>
    <t>0&lt;I&lt;0,01</t>
  </si>
  <si>
    <t>CA=(-2,11*I) + 0,721</t>
  </si>
  <si>
    <t>0,01&lt;I&lt;0,2</t>
  </si>
  <si>
    <t>CA=-1*I + 0,5</t>
  </si>
  <si>
    <t>Calidad del agua: concentración de sustancias extraibles con cloroformo</t>
  </si>
  <si>
    <t>Calidad del agua: concentración de fosfatos</t>
  </si>
  <si>
    <t>0 - 0,7</t>
  </si>
  <si>
    <t>CA=(-0,75*I) + 1</t>
  </si>
  <si>
    <t>0&lt;I&lt;0,4</t>
  </si>
  <si>
    <t>CA=(-2,33*I) + 1,630</t>
  </si>
  <si>
    <t>0,4&lt;I&lt;0,7</t>
  </si>
  <si>
    <t>Calidad del agua: concentración de fenoles</t>
  </si>
  <si>
    <t>CA=(-3E02*I)+1</t>
  </si>
  <si>
    <t>0&lt;I&lt;0,001</t>
  </si>
  <si>
    <t>CA=(-1E02*I)+8E-01</t>
  </si>
  <si>
    <t>0,001&lt;I&lt;0,005</t>
  </si>
  <si>
    <t>CA=(-3,16*I)+(3,16E-01)</t>
  </si>
  <si>
    <t>0,005&lt;I&lt;0,1</t>
  </si>
  <si>
    <t>0 - 0,1</t>
  </si>
  <si>
    <t>Calidad del agua: concentración de hidrocarburos disueltos o emulsionados</t>
  </si>
  <si>
    <t>CA=(-6*I)+1</t>
  </si>
  <si>
    <t>CA=(-2,67*I)+(8,33E-01)</t>
  </si>
  <si>
    <t>0,05&lt;I&lt;0,2</t>
  </si>
  <si>
    <t>CA=(-3,75E-01*I)+(3,75E-01)</t>
  </si>
  <si>
    <t>Calidad del agua: concentración de carburos aromáticos policícliocos</t>
  </si>
  <si>
    <r>
      <t>m</t>
    </r>
    <r>
      <rPr>
        <sz val="8"/>
        <rFont val="Arial"/>
        <family val="2"/>
      </rPr>
      <t xml:space="preserve">g </t>
    </r>
    <r>
      <rPr>
        <sz val="8"/>
        <rFont val="Arial"/>
        <family val="2"/>
      </rPr>
      <t>l</t>
    </r>
    <r>
      <rPr>
        <vertAlign val="superscript"/>
        <sz val="8"/>
        <rFont val="Arial"/>
        <family val="2"/>
      </rPr>
      <t>-1</t>
    </r>
  </si>
  <si>
    <t>CA=(-1,5*I)+1</t>
  </si>
  <si>
    <t>CA=(-8,75E-01*I)+(8,75E-01)</t>
  </si>
  <si>
    <t>Calidad del agua: concentración de nitratos</t>
  </si>
  <si>
    <t>0 - 50</t>
  </si>
  <si>
    <t>CA=(-2E-02*I)+1</t>
  </si>
  <si>
    <t>Calidad del agua: concentración de fluoruros</t>
  </si>
  <si>
    <t>0 - 1,7</t>
  </si>
  <si>
    <t>CA=(-2E-01*I)+1</t>
  </si>
  <si>
    <t>0&lt;I&lt;1,5</t>
  </si>
  <si>
    <t>CA=(-3,5*I)+5,95</t>
  </si>
  <si>
    <t>1,5&lt;I&lt;1,,7</t>
  </si>
  <si>
    <t>0 - 2</t>
  </si>
  <si>
    <t>CA=-I+1</t>
  </si>
  <si>
    <t>0&lt;I&lt;0,3</t>
  </si>
  <si>
    <t>Calidad del agua:concentración de hierro disuelto</t>
  </si>
  <si>
    <t>CA=(-4,12E-01*I)+(8,24E-01)</t>
  </si>
  <si>
    <t>0,3&lt;I&lt;2</t>
  </si>
  <si>
    <t>Calidad del agua:concentración de manganeso</t>
  </si>
  <si>
    <t>CA=-6*I+1</t>
  </si>
  <si>
    <t>CA=-8*I+1,1</t>
  </si>
  <si>
    <t>0,05&lt;I&lt;0,1</t>
  </si>
  <si>
    <t>CA=-3,33E-01*I+3,33E-0,1</t>
  </si>
  <si>
    <t>0,1&lt;I&lt;1</t>
  </si>
  <si>
    <t>CA=-1,4E01*I+1</t>
  </si>
  <si>
    <t>CA=-3,16E-01*I+3,16E-01</t>
  </si>
  <si>
    <t>0,05&lt;I&lt;1</t>
  </si>
  <si>
    <t>Calidad del agua:concentración de zinc</t>
  </si>
  <si>
    <t>Calidad del agua:concentración de cobre</t>
  </si>
  <si>
    <t>CA=-1E-01*I+1</t>
  </si>
  <si>
    <t>CA=-3,5E-01*I+1,75</t>
  </si>
  <si>
    <t>Calidad del agua:concentración de boro</t>
  </si>
  <si>
    <t>Calidad del agua:concentración de arsénico</t>
  </si>
  <si>
    <t>CA=-6*I+6E-01</t>
  </si>
  <si>
    <t>Calidad del agua:concentración de cadmio</t>
  </si>
  <si>
    <t>CA=-2E-01*I+1</t>
  </si>
  <si>
    <r>
      <t xml:space="preserve">mg </t>
    </r>
    <r>
      <rPr>
        <sz val="8"/>
        <rFont val="Arial"/>
        <family val="2"/>
      </rPr>
      <t>l</t>
    </r>
    <r>
      <rPr>
        <vertAlign val="superscript"/>
        <sz val="8"/>
        <rFont val="Arial"/>
        <family val="2"/>
      </rPr>
      <t xml:space="preserve">-1    </t>
    </r>
    <r>
      <rPr>
        <sz val="8"/>
        <rFont val="Arial"/>
        <family val="2"/>
      </rPr>
      <t>( x100 )</t>
    </r>
  </si>
  <si>
    <t>Calidad del agua:concentración de cromo</t>
  </si>
  <si>
    <t>Calidad del agua:concentración de plomo</t>
  </si>
  <si>
    <t>Calidad del agua:concentración de selenio</t>
  </si>
  <si>
    <t>CA=-1E02*I+1</t>
  </si>
  <si>
    <r>
      <t xml:space="preserve">mg </t>
    </r>
    <r>
      <rPr>
        <sz val="8"/>
        <rFont val="Arial"/>
        <family val="2"/>
      </rPr>
      <t>l</t>
    </r>
    <r>
      <rPr>
        <vertAlign val="superscript"/>
        <sz val="8"/>
        <rFont val="Arial"/>
        <family val="2"/>
      </rPr>
      <t>-1</t>
    </r>
  </si>
  <si>
    <t>0 - 0,01</t>
  </si>
  <si>
    <t>CA=-3I+1</t>
  </si>
  <si>
    <t>0&lt;I&lt;0,1</t>
  </si>
  <si>
    <t>CA=-7,78E-01I+7,78E-01</t>
  </si>
  <si>
    <t>Calidad del agua:concentración de cianuros</t>
  </si>
  <si>
    <t>Calidad del agua:concentración de sulfatos</t>
  </si>
  <si>
    <t>CA=-4E-03I+1</t>
  </si>
  <si>
    <t>0&lt;I&lt;250</t>
  </si>
  <si>
    <t>0 - 250</t>
  </si>
  <si>
    <t>Calidad del agua:concentración de cloruros</t>
  </si>
  <si>
    <t>CA=-5E-03I+1</t>
  </si>
  <si>
    <t>0&lt;I&lt;200</t>
  </si>
  <si>
    <t>Indicador semicualitativo de calidad de las aguas</t>
  </si>
  <si>
    <t>CA=-2,33I+1</t>
  </si>
  <si>
    <t>0&lt;I&lt;0,15</t>
  </si>
  <si>
    <t>CA=-1,75I+9,13E-01</t>
  </si>
  <si>
    <t xml:space="preserve">   0,15&lt;I&lt;0,35</t>
  </si>
  <si>
    <t>CA=-2I+1</t>
  </si>
  <si>
    <t>0,35&lt;I&lt;0,5</t>
  </si>
  <si>
    <t>ICC</t>
  </si>
  <si>
    <r>
      <t>CA=1,22E-02I</t>
    </r>
    <r>
      <rPr>
        <vertAlign val="superscript"/>
        <sz val="8"/>
        <rFont val="Arial"/>
        <family val="2"/>
      </rPr>
      <t>2</t>
    </r>
    <r>
      <rPr>
        <sz val="8"/>
        <rFont val="Arial"/>
        <family val="2"/>
      </rPr>
      <t>+2,931E-01I+1,760</t>
    </r>
  </si>
  <si>
    <t xml:space="preserve">  -12&lt;I&lt;-5</t>
  </si>
  <si>
    <r>
      <t>CA=-2,32E-02I</t>
    </r>
    <r>
      <rPr>
        <vertAlign val="superscript"/>
        <sz val="8"/>
        <rFont val="Arial"/>
        <family val="2"/>
      </rPr>
      <t>2</t>
    </r>
    <r>
      <rPr>
        <sz val="8"/>
        <rFont val="Arial"/>
        <family val="2"/>
      </rPr>
      <t>-4E-02I+9,8E-01</t>
    </r>
  </si>
  <si>
    <t xml:space="preserve">  -5&lt;I&lt;5</t>
  </si>
  <si>
    <r>
      <t>CA=8E-03I</t>
    </r>
    <r>
      <rPr>
        <vertAlign val="superscript"/>
        <sz val="8"/>
        <rFont val="Arial"/>
        <family val="2"/>
      </rPr>
      <t>2</t>
    </r>
    <r>
      <rPr>
        <sz val="8"/>
        <rFont val="Arial"/>
        <family val="2"/>
      </rPr>
      <t>-1,6E-01I+8E-01</t>
    </r>
  </si>
  <si>
    <t xml:space="preserve">   5&lt;I&lt;10</t>
  </si>
  <si>
    <t>Tenperatura media del agua</t>
  </si>
  <si>
    <t>ºC</t>
  </si>
  <si>
    <t>-12  - 10</t>
  </si>
  <si>
    <t>tª media-tªmedia "sin" proyecto</t>
  </si>
  <si>
    <t>Tenperatura media del agua según NSF</t>
  </si>
  <si>
    <r>
      <t>CA=1,22E-02 I</t>
    </r>
    <r>
      <rPr>
        <vertAlign val="superscript"/>
        <sz val="8"/>
        <rFont val="Arial"/>
        <family val="2"/>
      </rPr>
      <t>2</t>
    </r>
    <r>
      <rPr>
        <sz val="8"/>
        <rFont val="Arial"/>
        <family val="2"/>
      </rPr>
      <t>+2,931E-01I+1,760</t>
    </r>
  </si>
  <si>
    <r>
      <t>CA=-1,51E-02I</t>
    </r>
    <r>
      <rPr>
        <vertAlign val="superscript"/>
        <sz val="8"/>
        <rFont val="Arial"/>
        <family val="2"/>
      </rPr>
      <t>2</t>
    </r>
    <r>
      <rPr>
        <sz val="8"/>
        <rFont val="Arial"/>
        <family val="2"/>
      </rPr>
      <t>-2,07E-02I+8,75E-01</t>
    </r>
  </si>
  <si>
    <t xml:space="preserve">  -5&lt;I&lt;4</t>
  </si>
  <si>
    <r>
      <t>CA=3,33E-03</t>
    </r>
    <r>
      <rPr>
        <sz val="8"/>
        <rFont val="Arial"/>
        <family val="2"/>
      </rPr>
      <t>I</t>
    </r>
    <r>
      <rPr>
        <vertAlign val="superscript"/>
        <sz val="8"/>
        <rFont val="Arial"/>
        <family val="2"/>
      </rPr>
      <t>2</t>
    </r>
    <r>
      <rPr>
        <sz val="8"/>
        <rFont val="Arial"/>
        <family val="2"/>
      </rPr>
      <t>-1,13E-01I+9,5E-01</t>
    </r>
  </si>
  <si>
    <t xml:space="preserve">   4&lt;I&lt;15</t>
  </si>
  <si>
    <t>-12  - 15</t>
  </si>
  <si>
    <t>1 (T=0)</t>
  </si>
  <si>
    <t>TITULO</t>
  </si>
  <si>
    <t>ESTUDIO DE IMPACTO AMBIENTAL: PROCEDIMIENTO Y HERRAMIENTAS</t>
  </si>
  <si>
    <t>AUTORES</t>
  </si>
  <si>
    <t>ROBERTO PECHE GONZALEZ</t>
  </si>
  <si>
    <t>DOLORES ENCINAS MALAGON</t>
  </si>
  <si>
    <t>ZURIÑE GOMEZ DE BALUGERA LOPEZ DE ALDA</t>
  </si>
  <si>
    <t>MARIA ARRITOKIETA ORTUZAR IRAGORRI</t>
  </si>
  <si>
    <t>ISBN:</t>
  </si>
  <si>
    <t>978-84-613-9696-2</t>
  </si>
</sst>
</file>

<file path=xl/styles.xml><?xml version="1.0" encoding="utf-8"?>
<styleSheet xmlns="http://schemas.openxmlformats.org/spreadsheetml/2006/main">
  <numFmts count="5">
    <numFmt numFmtId="188" formatCode="0.000"/>
    <numFmt numFmtId="189" formatCode="0.0"/>
    <numFmt numFmtId="193" formatCode="0.0000"/>
    <numFmt numFmtId="194" formatCode="_-* #,##0.00\ [$€]_-;\-* #,##0.00\ [$€]_-;_-* &quot;-&quot;??\ [$€]_-;_-@_-"/>
    <numFmt numFmtId="197" formatCode="#,##0.000_ ;\-#,##0.000\ "/>
  </numFmts>
  <fonts count="22">
    <font>
      <sz val="9"/>
      <name val="Palatino Linotype"/>
      <family val="2"/>
    </font>
    <font>
      <sz val="10"/>
      <name val="Arial"/>
      <family val="2"/>
    </font>
    <font>
      <b/>
      <sz val="8"/>
      <name val="Arial"/>
      <family val="2"/>
    </font>
    <font>
      <sz val="8"/>
      <name val="Arial"/>
      <family val="2"/>
    </font>
    <font>
      <b/>
      <i/>
      <u val="single"/>
      <sz val="8"/>
      <name val="Arial"/>
      <family val="2"/>
    </font>
    <font>
      <sz val="11"/>
      <name val="Palatino Linotype"/>
      <family val="1"/>
    </font>
    <font>
      <sz val="11"/>
      <name val="Symbol"/>
      <family val="1"/>
    </font>
    <font>
      <vertAlign val="subscript"/>
      <sz val="11"/>
      <name val="Palatino Linotype"/>
      <family val="1"/>
    </font>
    <font>
      <vertAlign val="subscript"/>
      <sz val="8"/>
      <name val="Arial"/>
      <family val="2"/>
    </font>
    <font>
      <vertAlign val="superscript"/>
      <sz val="8"/>
      <name val="Arial"/>
      <family val="2"/>
    </font>
    <font>
      <b/>
      <i/>
      <u val="single"/>
      <sz val="10"/>
      <name val="Arial"/>
      <family val="2"/>
    </font>
    <font>
      <sz val="8"/>
      <color indexed="8"/>
      <name val="Arial"/>
      <family val="2"/>
    </font>
    <font>
      <sz val="8"/>
      <name val="Symbol"/>
      <family val="1"/>
    </font>
    <font>
      <sz val="10"/>
      <name val="Palatino Linotype"/>
      <family val="2"/>
    </font>
    <font>
      <sz val="8"/>
      <color rgb="FF000000"/>
      <name val="Arial"/>
      <family val="2"/>
    </font>
    <font>
      <sz val="1.5"/>
      <color rgb="FF000000"/>
      <name val="Arial"/>
      <family val="2"/>
    </font>
    <font>
      <sz val="1.25"/>
      <color rgb="FF000000"/>
      <name val="Arial"/>
      <family val="2"/>
    </font>
    <font>
      <b/>
      <sz val="8"/>
      <color rgb="FF000000"/>
      <name val="Arial"/>
      <family val="2"/>
    </font>
    <font>
      <u val="single"/>
      <sz val="8"/>
      <color rgb="FF000000"/>
      <name val="Arial"/>
      <family val="2"/>
    </font>
    <font>
      <b/>
      <u val="single"/>
      <sz val="8"/>
      <color rgb="FF000000"/>
      <name val="Arial"/>
      <family val="2"/>
    </font>
    <font>
      <vertAlign val="subscript"/>
      <sz val="8"/>
      <color rgb="FF000000"/>
      <name val="Arial"/>
      <family val="2"/>
    </font>
    <font>
      <vertAlign val="superscript"/>
      <sz val="8"/>
      <color rgb="FF000000"/>
      <name val="Arial"/>
      <family val="2"/>
    </font>
  </fonts>
  <fills count="9">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6"/>
        <bgColor indexed="64"/>
      </patternFill>
    </fill>
    <fill>
      <patternFill patternType="solid">
        <fgColor indexed="42"/>
        <bgColor indexed="64"/>
      </patternFill>
    </fill>
    <fill>
      <patternFill patternType="solid">
        <fgColor indexed="45"/>
        <bgColor indexed="64"/>
      </patternFill>
    </fill>
  </fills>
  <borders count="52">
    <border>
      <left/>
      <right/>
      <top/>
      <bottom/>
      <diagonal/>
    </border>
    <border>
      <left style="thick"/>
      <right style="hair"/>
      <top style="thick"/>
      <bottom style="thin"/>
    </border>
    <border>
      <left style="hair"/>
      <right style="medium"/>
      <top style="thick"/>
      <bottom style="thin"/>
    </border>
    <border>
      <left style="medium"/>
      <right style="dotted"/>
      <top style="thick"/>
      <bottom style="thin"/>
    </border>
    <border>
      <left style="dotted"/>
      <right style="dotted"/>
      <top style="thick"/>
      <bottom style="thin"/>
    </border>
    <border>
      <left style="dotted"/>
      <right style="thick"/>
      <top style="thick"/>
      <bottom style="thin"/>
    </border>
    <border>
      <left style="thick"/>
      <right style="hair"/>
      <top style="thin"/>
      <bottom style="thin"/>
    </border>
    <border>
      <left style="hair"/>
      <right style="medium"/>
      <top style="thin"/>
      <bottom style="thin"/>
    </border>
    <border>
      <left style="medium"/>
      <right style="dotted"/>
      <top style="thin"/>
      <bottom style="thin"/>
    </border>
    <border>
      <left style="dotted"/>
      <right style="thick"/>
      <top style="thin"/>
      <bottom style="thin"/>
    </border>
    <border>
      <left style="medium"/>
      <right/>
      <top style="medium"/>
      <bottom style="thin"/>
    </border>
    <border>
      <left/>
      <right/>
      <top style="medium"/>
      <bottom style="thin"/>
    </border>
    <border>
      <left style="thick"/>
      <right style="hair"/>
      <top style="thin"/>
      <bottom/>
    </border>
    <border>
      <left style="medium"/>
      <right/>
      <top style="thin"/>
      <bottom style="medium"/>
    </border>
    <border>
      <left/>
      <right/>
      <top style="thin"/>
      <bottom style="medium"/>
    </border>
    <border>
      <left style="thick"/>
      <right style="dotted"/>
      <top style="medium"/>
      <bottom style="thin"/>
    </border>
    <border>
      <left style="dotted"/>
      <right style="medium"/>
      <top style="medium"/>
      <bottom style="thin"/>
    </border>
    <border>
      <left style="thick"/>
      <right style="dotted"/>
      <top/>
      <bottom style="thin"/>
    </border>
    <border>
      <left style="dotted"/>
      <right style="medium"/>
      <top/>
      <bottom style="thin"/>
    </border>
    <border>
      <left/>
      <right style="thick"/>
      <top/>
      <bottom/>
    </border>
    <border>
      <left style="thick"/>
      <right style="dotted"/>
      <top style="thin"/>
      <bottom style="thin"/>
    </border>
    <border>
      <left/>
      <right/>
      <top/>
      <bottom style="thick"/>
    </border>
    <border>
      <left/>
      <right style="thick"/>
      <top/>
      <bottom style="thick"/>
    </border>
    <border>
      <left style="dotted"/>
      <right style="dotted"/>
      <top style="thin"/>
      <bottom style="thin"/>
    </border>
    <border>
      <left style="medium"/>
      <right style="dotted"/>
      <top style="thin"/>
      <bottom/>
    </border>
    <border>
      <left style="dotted"/>
      <right style="dotted"/>
      <top style="thin"/>
      <bottom/>
    </border>
    <border>
      <left style="dotted"/>
      <right style="thick"/>
      <top style="thin"/>
      <bottom/>
    </border>
    <border>
      <left/>
      <right style="thick"/>
      <top style="medium"/>
      <bottom style="thin"/>
    </border>
    <border>
      <left style="hair"/>
      <right style="medium"/>
      <top/>
      <bottom style="medium"/>
    </border>
    <border>
      <left/>
      <right style="thick"/>
      <top style="thin"/>
      <bottom style="medium"/>
    </border>
    <border>
      <left style="thick"/>
      <right style="dotted"/>
      <top style="thin"/>
      <bottom style="thick"/>
    </border>
    <border>
      <left style="dotted"/>
      <right style="medium"/>
      <top/>
      <bottom style="thick"/>
    </border>
    <border>
      <left style="thick"/>
      <right style="dotted"/>
      <top/>
      <bottom style="thick"/>
    </border>
    <border>
      <left style="thick"/>
      <right style="dotted"/>
      <top style="thin"/>
      <bottom/>
    </border>
    <border>
      <left style="hair"/>
      <right/>
      <top style="thick"/>
      <bottom style="thin"/>
    </border>
    <border>
      <left style="hair"/>
      <right/>
      <top style="thin"/>
      <bottom style="thin"/>
    </border>
    <border>
      <left style="dotted"/>
      <right/>
      <top style="medium"/>
      <bottom style="thin"/>
    </border>
    <border>
      <left style="dotted"/>
      <right/>
      <top/>
      <bottom style="thin"/>
    </border>
    <border>
      <left style="thick"/>
      <right style="dotted"/>
      <top style="thick"/>
      <bottom style="thin"/>
    </border>
    <border>
      <left style="thick"/>
      <right/>
      <top style="medium"/>
      <bottom style="thin"/>
    </border>
    <border>
      <left style="thick"/>
      <right/>
      <top style="thin"/>
      <bottom style="medium"/>
    </border>
    <border>
      <left style="thick"/>
      <right/>
      <top/>
      <bottom/>
    </border>
    <border>
      <left style="thick"/>
      <right/>
      <top/>
      <bottom style="thick"/>
    </border>
    <border>
      <left style="dotted"/>
      <right style="thick"/>
      <top style="thin"/>
      <bottom style="thick"/>
    </border>
    <border>
      <left style="dotted"/>
      <right/>
      <top style="thick"/>
      <bottom style="thin"/>
    </border>
    <border>
      <left style="dotted"/>
      <right style="thick"/>
      <top/>
      <bottom style="thin"/>
    </border>
    <border>
      <left style="dotted"/>
      <right style="medium"/>
      <top style="thin"/>
      <bottom style="thick"/>
    </border>
    <border>
      <left style="dotted"/>
      <right style="dotted"/>
      <top/>
      <bottom style="thin"/>
    </border>
    <border>
      <left style="thin"/>
      <right style="thin"/>
      <top style="thin"/>
      <bottom style="thin"/>
    </border>
    <border>
      <left style="thin"/>
      <right style="thin"/>
      <top style="thin"/>
      <bottom style="thick"/>
    </border>
    <border>
      <left style="dotted"/>
      <right style="thick"/>
      <top/>
      <bottom style="thick"/>
    </border>
    <border>
      <left style="dotted"/>
      <right style="dotted"/>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94" fontId="1" fillId="0" borderId="0" applyFont="0" applyFill="0" applyBorder="0" applyAlignment="0" applyProtection="0"/>
    <xf numFmtId="0" fontId="1" fillId="0" borderId="0">
      <alignment/>
      <protection/>
    </xf>
  </cellStyleXfs>
  <cellXfs count="196">
    <xf numFmtId="0" fontId="0" fillId="0" borderId="0" xfId="0"/>
    <xf numFmtId="0" fontId="2"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188" fontId="2" fillId="3" borderId="14" xfId="0" applyNumberFormat="1"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3" fillId="2" borderId="17" xfId="0" applyFont="1" applyFill="1" applyBorder="1" applyAlignment="1">
      <alignment horizontal="center" vertical="center"/>
    </xf>
    <xf numFmtId="188" fontId="3" fillId="2" borderId="18" xfId="0" applyNumberFormat="1" applyFont="1" applyFill="1" applyBorder="1" applyAlignment="1">
      <alignment horizontal="center" vertical="center"/>
    </xf>
    <xf numFmtId="0" fontId="0" fillId="0" borderId="0" xfId="0" applyBorder="1"/>
    <xf numFmtId="0" fontId="0" fillId="0" borderId="19" xfId="0" applyBorder="1"/>
    <xf numFmtId="0" fontId="3" fillId="2" borderId="20" xfId="0" applyFont="1" applyFill="1" applyBorder="1" applyAlignment="1">
      <alignment horizontal="center" vertical="center"/>
    </xf>
    <xf numFmtId="0" fontId="3" fillId="5" borderId="17" xfId="0" applyFont="1" applyFill="1" applyBorder="1" applyAlignment="1">
      <alignment horizontal="center" vertical="center"/>
    </xf>
    <xf numFmtId="0" fontId="3" fillId="5" borderId="20" xfId="0" applyFont="1" applyFill="1" applyBorder="1" applyAlignment="1">
      <alignment horizontal="center" vertical="center"/>
    </xf>
    <xf numFmtId="0" fontId="0" fillId="0" borderId="21" xfId="0" applyBorder="1"/>
    <xf numFmtId="0" fontId="0" fillId="0" borderId="22" xfId="0" applyBorder="1"/>
    <xf numFmtId="0" fontId="3" fillId="2"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3" borderId="8"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27" xfId="0" applyFont="1" applyFill="1" applyBorder="1"/>
    <xf numFmtId="0" fontId="3" fillId="2" borderId="28" xfId="0" applyFont="1" applyFill="1" applyBorder="1" applyAlignment="1">
      <alignment horizontal="center" vertical="center" wrapText="1"/>
    </xf>
    <xf numFmtId="0" fontId="3" fillId="3" borderId="29" xfId="0" applyFont="1" applyFill="1" applyBorder="1"/>
    <xf numFmtId="0" fontId="3" fillId="0" borderId="0" xfId="0" applyFont="1"/>
    <xf numFmtId="0" fontId="3" fillId="0" borderId="0" xfId="0" applyFont="1" applyBorder="1"/>
    <xf numFmtId="0" fontId="3" fillId="0" borderId="19" xfId="0" applyFont="1" applyBorder="1"/>
    <xf numFmtId="0" fontId="3" fillId="0" borderId="0" xfId="0" applyFont="1" applyBorder="1" applyAlignment="1">
      <alignment horizontal="center" vertical="center"/>
    </xf>
    <xf numFmtId="0" fontId="3" fillId="0" borderId="21" xfId="0" applyFont="1" applyBorder="1"/>
    <xf numFmtId="0" fontId="3" fillId="0" borderId="22" xfId="0" applyFont="1" applyBorder="1"/>
    <xf numFmtId="0" fontId="3" fillId="5" borderId="30" xfId="0" applyFont="1" applyFill="1" applyBorder="1" applyAlignment="1">
      <alignment horizontal="center" vertical="center"/>
    </xf>
    <xf numFmtId="188" fontId="3" fillId="2" borderId="31" xfId="0" applyNumberFormat="1" applyFont="1" applyFill="1" applyBorder="1" applyAlignment="1">
      <alignment horizontal="center" vertical="center"/>
    </xf>
    <xf numFmtId="0" fontId="3" fillId="0" borderId="21" xfId="0" applyFont="1" applyBorder="1" applyAlignment="1">
      <alignment horizontal="center" vertical="center"/>
    </xf>
    <xf numFmtId="0" fontId="3" fillId="6" borderId="17" xfId="0" applyFont="1" applyFill="1" applyBorder="1" applyAlignment="1">
      <alignment horizontal="center" vertical="center"/>
    </xf>
    <xf numFmtId="188" fontId="3" fillId="6" borderId="18" xfId="0" applyNumberFormat="1" applyFont="1" applyFill="1" applyBorder="1" applyAlignment="1">
      <alignment horizontal="center" vertical="center"/>
    </xf>
    <xf numFmtId="0" fontId="3" fillId="3" borderId="5" xfId="0" applyFont="1" applyFill="1" applyBorder="1" applyAlignment="1">
      <alignment horizontal="center" vertical="center"/>
    </xf>
    <xf numFmtId="0" fontId="3" fillId="6" borderId="32" xfId="0" applyFont="1" applyFill="1" applyBorder="1" applyAlignment="1">
      <alignment horizontal="center" vertical="center"/>
    </xf>
    <xf numFmtId="188" fontId="3" fillId="6" borderId="31" xfId="0" applyNumberFormat="1" applyFont="1" applyFill="1" applyBorder="1" applyAlignment="1">
      <alignment horizontal="center" vertical="center"/>
    </xf>
    <xf numFmtId="0" fontId="3" fillId="3" borderId="23" xfId="0" applyFont="1" applyFill="1" applyBorder="1" applyAlignment="1">
      <alignment horizontal="center" vertical="center" wrapText="1"/>
    </xf>
    <xf numFmtId="188" fontId="3" fillId="3" borderId="18" xfId="0" applyNumberFormat="1" applyFont="1" applyFill="1" applyBorder="1" applyAlignment="1">
      <alignment horizontal="center" vertical="center"/>
    </xf>
    <xf numFmtId="0" fontId="3" fillId="3" borderId="23"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27" xfId="0" applyFont="1" applyFill="1" applyBorder="1"/>
    <xf numFmtId="0" fontId="3" fillId="3" borderId="29" xfId="0" applyFont="1" applyFill="1" applyBorder="1"/>
    <xf numFmtId="0" fontId="3" fillId="3" borderId="20" xfId="0" applyFont="1" applyFill="1" applyBorder="1" applyAlignment="1">
      <alignment horizontal="center" vertical="center"/>
    </xf>
    <xf numFmtId="0" fontId="3" fillId="3" borderId="33" xfId="0" applyFont="1" applyFill="1" applyBorder="1" applyAlignment="1">
      <alignment horizontal="center" vertical="center"/>
    </xf>
    <xf numFmtId="0" fontId="3" fillId="0" borderId="0" xfId="0" applyFont="1" applyFill="1" applyBorder="1" applyAlignment="1">
      <alignment horizontal="center" vertical="center"/>
    </xf>
    <xf numFmtId="0" fontId="3" fillId="7" borderId="0" xfId="0" applyFont="1" applyFill="1" applyBorder="1"/>
    <xf numFmtId="0" fontId="3" fillId="2" borderId="34"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4" fillId="4" borderId="36" xfId="0" applyFont="1" applyFill="1" applyBorder="1" applyAlignment="1">
      <alignment horizontal="center" vertical="center" wrapText="1"/>
    </xf>
    <xf numFmtId="188" fontId="3" fillId="2" borderId="37" xfId="0" applyNumberFormat="1" applyFont="1" applyFill="1" applyBorder="1" applyAlignment="1">
      <alignment horizontal="center" vertical="center"/>
    </xf>
    <xf numFmtId="188" fontId="3" fillId="3" borderId="37" xfId="0" applyNumberFormat="1" applyFont="1" applyFill="1" applyBorder="1" applyAlignment="1">
      <alignment horizontal="center" vertical="center"/>
    </xf>
    <xf numFmtId="0" fontId="2" fillId="3" borderId="38" xfId="0" applyFont="1" applyFill="1" applyBorder="1" applyAlignment="1">
      <alignment horizontal="center" vertical="center" wrapText="1"/>
    </xf>
    <xf numFmtId="0" fontId="2" fillId="3" borderId="39"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3" fillId="0" borderId="41" xfId="0" applyFont="1" applyBorder="1"/>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2" xfId="0" applyFont="1" applyBorder="1"/>
    <xf numFmtId="0" fontId="5" fillId="2" borderId="0" xfId="0" applyFont="1" applyFill="1" applyBorder="1" applyAlignment="1">
      <alignment horizontal="center" vertical="center"/>
    </xf>
    <xf numFmtId="0" fontId="3" fillId="7" borderId="41" xfId="0" applyFont="1" applyFill="1" applyBorder="1" applyAlignment="1">
      <alignment horizontal="center" vertical="center"/>
    </xf>
    <xf numFmtId="0" fontId="3" fillId="7" borderId="41" xfId="0" applyFont="1" applyFill="1" applyBorder="1"/>
    <xf numFmtId="0" fontId="3" fillId="7" borderId="42" xfId="0" applyFont="1" applyFill="1" applyBorder="1"/>
    <xf numFmtId="0" fontId="3" fillId="7" borderId="21" xfId="0" applyFont="1" applyFill="1" applyBorder="1"/>
    <xf numFmtId="0" fontId="3" fillId="3" borderId="30" xfId="0" applyFont="1" applyFill="1" applyBorder="1" applyAlignment="1">
      <alignment horizontal="center" vertical="center"/>
    </xf>
    <xf numFmtId="188" fontId="3" fillId="3" borderId="43" xfId="0" applyNumberFormat="1" applyFont="1" applyFill="1" applyBorder="1" applyAlignment="1">
      <alignment horizontal="center" vertical="center"/>
    </xf>
    <xf numFmtId="0" fontId="3" fillId="3" borderId="24" xfId="0" applyFont="1" applyFill="1" applyBorder="1" applyAlignment="1">
      <alignment horizontal="center" vertical="center"/>
    </xf>
    <xf numFmtId="0" fontId="3" fillId="2" borderId="28" xfId="0" applyFont="1" applyFill="1" applyBorder="1" applyAlignment="1">
      <alignment horizontal="center" vertical="center" wrapText="1"/>
    </xf>
    <xf numFmtId="0" fontId="0" fillId="0" borderId="0" xfId="0" applyBorder="1" applyAlignment="1">
      <alignment horizontal="center" vertical="center"/>
    </xf>
    <xf numFmtId="0" fontId="0" fillId="0" borderId="19" xfId="0" applyBorder="1" applyAlignment="1">
      <alignment horizontal="center" vertical="center"/>
    </xf>
    <xf numFmtId="189" fontId="3" fillId="2" borderId="17" xfId="0" applyNumberFormat="1" applyFont="1" applyFill="1" applyBorder="1" applyAlignment="1">
      <alignment horizontal="center" vertical="center"/>
    </xf>
    <xf numFmtId="189" fontId="3" fillId="2" borderId="20" xfId="0" applyNumberFormat="1" applyFont="1" applyFill="1" applyBorder="1" applyAlignment="1">
      <alignment horizontal="center" vertical="center"/>
    </xf>
    <xf numFmtId="189" fontId="3" fillId="3" borderId="20" xfId="0" applyNumberFormat="1" applyFont="1" applyFill="1" applyBorder="1" applyAlignment="1">
      <alignment horizontal="center" vertical="center"/>
    </xf>
    <xf numFmtId="189" fontId="3" fillId="3" borderId="30" xfId="0" applyNumberFormat="1" applyFont="1" applyFill="1" applyBorder="1" applyAlignment="1">
      <alignment horizontal="center" vertical="center"/>
    </xf>
    <xf numFmtId="188" fontId="3" fillId="3" borderId="31" xfId="0" applyNumberFormat="1" applyFont="1" applyFill="1" applyBorder="1" applyAlignment="1">
      <alignment horizontal="center" vertical="center"/>
    </xf>
    <xf numFmtId="0" fontId="0" fillId="0" borderId="21" xfId="0" applyBorder="1" applyAlignment="1">
      <alignment horizontal="center" vertical="center"/>
    </xf>
    <xf numFmtId="0" fontId="3" fillId="2" borderId="30" xfId="0" applyFont="1" applyFill="1" applyBorder="1" applyAlignment="1">
      <alignment horizontal="center" vertical="center"/>
    </xf>
    <xf numFmtId="189" fontId="3" fillId="2" borderId="30" xfId="0" applyNumberFormat="1" applyFont="1" applyFill="1" applyBorder="1" applyAlignment="1">
      <alignment horizontal="center" vertical="center"/>
    </xf>
    <xf numFmtId="0" fontId="3" fillId="0" borderId="0" xfId="0" applyFont="1" applyAlignment="1">
      <alignment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vertical="center" wrapText="1"/>
    </xf>
    <xf numFmtId="0" fontId="3" fillId="3" borderId="29" xfId="0" applyFont="1" applyFill="1" applyBorder="1" applyAlignment="1">
      <alignment vertical="center" wrapText="1"/>
    </xf>
    <xf numFmtId="0" fontId="3" fillId="2" borderId="17" xfId="0" applyFont="1" applyFill="1" applyBorder="1" applyAlignment="1">
      <alignment horizontal="center" vertical="center" wrapText="1"/>
    </xf>
    <xf numFmtId="0" fontId="3" fillId="0" borderId="0" xfId="0" applyFont="1" applyBorder="1" applyAlignment="1">
      <alignment vertical="center" wrapText="1"/>
    </xf>
    <xf numFmtId="0" fontId="3" fillId="0" borderId="19" xfId="0" applyFont="1" applyBorder="1" applyAlignment="1">
      <alignment vertical="center" wrapText="1"/>
    </xf>
    <xf numFmtId="0" fontId="3" fillId="2" borderId="2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3" borderId="2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3" fillId="7" borderId="0" xfId="0" applyFont="1" applyFill="1" applyBorder="1" applyAlignment="1">
      <alignment vertical="center" wrapText="1"/>
    </xf>
    <xf numFmtId="0" fontId="3" fillId="7" borderId="19" xfId="0" applyFont="1" applyFill="1" applyBorder="1" applyAlignment="1">
      <alignment vertical="center" wrapText="1"/>
    </xf>
    <xf numFmtId="0" fontId="3" fillId="7" borderId="19"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3" fillId="7" borderId="41" xfId="0" applyFont="1" applyFill="1" applyBorder="1" applyAlignment="1">
      <alignment vertical="center" wrapText="1"/>
    </xf>
    <xf numFmtId="0" fontId="3" fillId="7" borderId="42" xfId="0" applyFont="1" applyFill="1" applyBorder="1" applyAlignment="1">
      <alignment vertical="center" wrapText="1"/>
    </xf>
    <xf numFmtId="0" fontId="3" fillId="7" borderId="21" xfId="0" applyFont="1" applyFill="1" applyBorder="1" applyAlignment="1">
      <alignment vertical="center" wrapText="1"/>
    </xf>
    <xf numFmtId="0" fontId="3" fillId="7" borderId="22"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9" xfId="0" applyFont="1" applyFill="1" applyBorder="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3" fillId="8" borderId="30" xfId="0" applyFont="1" applyFill="1" applyBorder="1" applyAlignment="1">
      <alignment horizontal="center" vertical="center" wrapText="1"/>
    </xf>
    <xf numFmtId="188" fontId="3" fillId="2" borderId="9" xfId="0" applyNumberFormat="1" applyFont="1" applyFill="1" applyBorder="1" applyAlignment="1">
      <alignment horizontal="center" vertical="center" wrapText="1"/>
    </xf>
    <xf numFmtId="188" fontId="3" fillId="3" borderId="9" xfId="0" applyNumberFormat="1" applyFont="1" applyFill="1" applyBorder="1" applyAlignment="1">
      <alignment horizontal="center" vertical="center" wrapText="1"/>
    </xf>
    <xf numFmtId="188" fontId="3" fillId="8" borderId="9" xfId="0" applyNumberFormat="1" applyFont="1" applyFill="1" applyBorder="1" applyAlignment="1">
      <alignment horizontal="center" vertical="center" wrapText="1"/>
    </xf>
    <xf numFmtId="188" fontId="3" fillId="8" borderId="43" xfId="0" applyNumberFormat="1" applyFont="1" applyFill="1" applyBorder="1" applyAlignment="1">
      <alignment horizontal="center" vertical="center" wrapText="1"/>
    </xf>
    <xf numFmtId="0" fontId="3" fillId="3" borderId="44" xfId="0" applyFont="1" applyFill="1" applyBorder="1" applyAlignment="1">
      <alignment horizontal="center" vertical="center" wrapText="1"/>
    </xf>
    <xf numFmtId="0" fontId="3" fillId="3" borderId="45" xfId="0" applyFont="1" applyFill="1" applyBorder="1" applyAlignment="1">
      <alignment horizontal="center" vertical="center" wrapText="1"/>
    </xf>
    <xf numFmtId="0" fontId="3" fillId="8" borderId="20" xfId="0" applyFont="1" applyFill="1" applyBorder="1" applyAlignment="1">
      <alignment horizontal="center" vertical="center"/>
    </xf>
    <xf numFmtId="188" fontId="3" fillId="8" borderId="18" xfId="0" applyNumberFormat="1" applyFont="1" applyFill="1" applyBorder="1" applyAlignment="1">
      <alignment horizontal="center" vertical="center"/>
    </xf>
    <xf numFmtId="0" fontId="3" fillId="8" borderId="30" xfId="0" applyFont="1" applyFill="1" applyBorder="1" applyAlignment="1">
      <alignment horizontal="center" vertical="center"/>
    </xf>
    <xf numFmtId="188" fontId="3" fillId="8" borderId="31" xfId="0" applyNumberFormat="1" applyFont="1" applyFill="1" applyBorder="1" applyAlignment="1">
      <alignment horizontal="center" vertical="center"/>
    </xf>
    <xf numFmtId="188" fontId="3" fillId="3" borderId="46" xfId="0" applyNumberFormat="1" applyFont="1" applyFill="1" applyBorder="1" applyAlignment="1">
      <alignment horizontal="center" vertical="center"/>
    </xf>
    <xf numFmtId="0" fontId="3" fillId="3" borderId="47" xfId="0" applyFont="1" applyFill="1" applyBorder="1" applyAlignment="1">
      <alignment horizontal="center" vertical="center" wrapText="1"/>
    </xf>
    <xf numFmtId="49" fontId="3" fillId="2" borderId="7" xfId="0" applyNumberFormat="1" applyFont="1" applyFill="1" applyBorder="1" applyAlignment="1">
      <alignment horizontal="center" vertical="center" wrapText="1"/>
    </xf>
    <xf numFmtId="188" fontId="3" fillId="0" borderId="0" xfId="0" applyNumberFormat="1" applyFont="1" applyFill="1" applyBorder="1" applyAlignment="1">
      <alignment horizontal="center" vertical="center"/>
    </xf>
    <xf numFmtId="188" fontId="3" fillId="8" borderId="46" xfId="0" applyNumberFormat="1" applyFont="1" applyFill="1" applyBorder="1" applyAlignment="1">
      <alignment horizontal="center" vertical="center"/>
    </xf>
    <xf numFmtId="189" fontId="3" fillId="8" borderId="20" xfId="0" applyNumberFormat="1" applyFont="1" applyFill="1" applyBorder="1" applyAlignment="1">
      <alignment horizontal="center" vertical="center"/>
    </xf>
    <xf numFmtId="189" fontId="3" fillId="8" borderId="30" xfId="0" applyNumberFormat="1" applyFont="1" applyFill="1" applyBorder="1" applyAlignment="1">
      <alignment horizontal="center" vertical="center"/>
    </xf>
    <xf numFmtId="2" fontId="3" fillId="2" borderId="17" xfId="0" applyNumberFormat="1" applyFont="1" applyFill="1" applyBorder="1" applyAlignment="1">
      <alignment horizontal="center" vertical="center"/>
    </xf>
    <xf numFmtId="2" fontId="3" fillId="2" borderId="20" xfId="0" applyNumberFormat="1" applyFont="1" applyFill="1" applyBorder="1" applyAlignment="1">
      <alignment horizontal="center" vertical="center"/>
    </xf>
    <xf numFmtId="2" fontId="3" fillId="3" borderId="20" xfId="0" applyNumberFormat="1" applyFont="1" applyFill="1" applyBorder="1" applyAlignment="1">
      <alignment horizontal="center" vertical="center"/>
    </xf>
    <xf numFmtId="2" fontId="3" fillId="8" borderId="20" xfId="0" applyNumberFormat="1" applyFont="1" applyFill="1" applyBorder="1" applyAlignment="1">
      <alignment horizontal="center" vertical="center"/>
    </xf>
    <xf numFmtId="2" fontId="3" fillId="8" borderId="30" xfId="0" applyNumberFormat="1" applyFont="1" applyFill="1" applyBorder="1" applyAlignment="1">
      <alignment horizontal="center" vertical="center"/>
    </xf>
    <xf numFmtId="0" fontId="3" fillId="8" borderId="17" xfId="0" applyFont="1" applyFill="1" applyBorder="1" applyAlignment="1">
      <alignment horizontal="center" vertical="center"/>
    </xf>
    <xf numFmtId="0" fontId="11" fillId="0" borderId="0" xfId="0" applyFont="1" applyAlignment="1">
      <alignment horizontal="left" wrapText="1" indent="1"/>
    </xf>
    <xf numFmtId="0" fontId="3" fillId="3" borderId="4" xfId="0" applyFont="1" applyFill="1" applyBorder="1" applyAlignment="1">
      <alignment horizontal="center" vertical="center"/>
    </xf>
    <xf numFmtId="2" fontId="3" fillId="3" borderId="30" xfId="0" applyNumberFormat="1" applyFont="1" applyFill="1" applyBorder="1" applyAlignment="1">
      <alignment horizontal="center" vertical="center"/>
    </xf>
    <xf numFmtId="188" fontId="3" fillId="8" borderId="48" xfId="0" applyNumberFormat="1" applyFont="1" applyFill="1" applyBorder="1" applyAlignment="1">
      <alignment horizontal="center" vertical="center"/>
    </xf>
    <xf numFmtId="188" fontId="3" fillId="8" borderId="49" xfId="0" applyNumberFormat="1" applyFont="1" applyFill="1" applyBorder="1" applyAlignment="1">
      <alignment horizontal="center" vertical="center"/>
    </xf>
    <xf numFmtId="188" fontId="3" fillId="2" borderId="17" xfId="0" applyNumberFormat="1" applyFont="1" applyFill="1" applyBorder="1" applyAlignment="1">
      <alignment horizontal="center" vertical="center"/>
    </xf>
    <xf numFmtId="188" fontId="3" fillId="2" borderId="20" xfId="0" applyNumberFormat="1" applyFont="1" applyFill="1" applyBorder="1" applyAlignment="1">
      <alignment horizontal="center" vertical="center"/>
    </xf>
    <xf numFmtId="188" fontId="3" fillId="3" borderId="20" xfId="0" applyNumberFormat="1" applyFont="1" applyFill="1" applyBorder="1" applyAlignment="1">
      <alignment horizontal="center" vertical="center"/>
    </xf>
    <xf numFmtId="188" fontId="3" fillId="8" borderId="20" xfId="0" applyNumberFormat="1" applyFont="1" applyFill="1" applyBorder="1" applyAlignment="1">
      <alignment horizontal="center" vertical="center"/>
    </xf>
    <xf numFmtId="188" fontId="3" fillId="8" borderId="30" xfId="0" applyNumberFormat="1" applyFont="1" applyFill="1" applyBorder="1" applyAlignment="1">
      <alignment horizontal="center" vertical="center"/>
    </xf>
    <xf numFmtId="188" fontId="3" fillId="2" borderId="48" xfId="0" applyNumberFormat="1" applyFont="1" applyFill="1" applyBorder="1" applyAlignment="1">
      <alignment horizontal="center" vertical="center"/>
    </xf>
    <xf numFmtId="193" fontId="3" fillId="2" borderId="20" xfId="0" applyNumberFormat="1" applyFont="1" applyFill="1" applyBorder="1" applyAlignment="1">
      <alignment horizontal="center" vertical="center"/>
    </xf>
    <xf numFmtId="188" fontId="3" fillId="2" borderId="9" xfId="0" applyNumberFormat="1" applyFont="1" applyFill="1" applyBorder="1" applyAlignment="1">
      <alignment horizontal="center" vertical="center"/>
    </xf>
    <xf numFmtId="188" fontId="3" fillId="2" borderId="45" xfId="0" applyNumberFormat="1" applyFont="1" applyFill="1" applyBorder="1" applyAlignment="1">
      <alignment horizontal="center" vertical="center"/>
    </xf>
    <xf numFmtId="188" fontId="3" fillId="3" borderId="9" xfId="0" applyNumberFormat="1" applyFont="1" applyFill="1" applyBorder="1" applyAlignment="1">
      <alignment horizontal="center" vertical="center"/>
    </xf>
    <xf numFmtId="188" fontId="3" fillId="3" borderId="43" xfId="0" applyNumberFormat="1" applyFont="1" applyFill="1" applyBorder="1" applyAlignment="1">
      <alignment horizontal="center" vertical="center"/>
    </xf>
    <xf numFmtId="197" fontId="3" fillId="3" borderId="9" xfId="20" applyNumberFormat="1" applyFont="1" applyFill="1" applyBorder="1" applyAlignment="1">
      <alignment horizontal="center" vertical="center"/>
    </xf>
    <xf numFmtId="197" fontId="3" fillId="8" borderId="20" xfId="20" applyNumberFormat="1" applyFont="1" applyFill="1" applyBorder="1" applyAlignment="1">
      <alignment horizontal="center" vertical="center"/>
    </xf>
    <xf numFmtId="188" fontId="3" fillId="8" borderId="9" xfId="0" applyNumberFormat="1" applyFont="1" applyFill="1" applyBorder="1" applyAlignment="1">
      <alignment horizontal="center" vertical="center"/>
    </xf>
    <xf numFmtId="197" fontId="3" fillId="8" borderId="30" xfId="20" applyNumberFormat="1" applyFont="1" applyFill="1" applyBorder="1" applyAlignment="1">
      <alignment horizontal="center" vertical="center"/>
    </xf>
    <xf numFmtId="188" fontId="3" fillId="8" borderId="43" xfId="0" applyNumberFormat="1" applyFont="1" applyFill="1" applyBorder="1" applyAlignment="1">
      <alignment horizontal="center" vertical="center"/>
    </xf>
    <xf numFmtId="0" fontId="12" fillId="2" borderId="7" xfId="0" applyFont="1" applyFill="1" applyBorder="1" applyAlignment="1">
      <alignment horizontal="center" vertical="center" wrapText="1"/>
    </xf>
    <xf numFmtId="1" fontId="3" fillId="2" borderId="20" xfId="0" applyNumberFormat="1" applyFont="1" applyFill="1" applyBorder="1" applyAlignment="1">
      <alignment horizontal="center" vertical="center"/>
    </xf>
    <xf numFmtId="1" fontId="3" fillId="2" borderId="30" xfId="0" applyNumberFormat="1" applyFont="1" applyFill="1" applyBorder="1" applyAlignment="1">
      <alignment horizontal="center" vertical="center"/>
    </xf>
    <xf numFmtId="188" fontId="3" fillId="3" borderId="30" xfId="0" applyNumberFormat="1" applyFont="1" applyFill="1" applyBorder="1" applyAlignment="1">
      <alignment horizontal="center" vertical="center"/>
    </xf>
    <xf numFmtId="2" fontId="3" fillId="2" borderId="30" xfId="0" applyNumberFormat="1" applyFont="1" applyFill="1" applyBorder="1" applyAlignment="1">
      <alignment horizontal="center" vertical="center"/>
    </xf>
    <xf numFmtId="193" fontId="3" fillId="2" borderId="30" xfId="0" applyNumberFormat="1" applyFont="1" applyFill="1" applyBorder="1" applyAlignment="1">
      <alignment horizontal="center" vertical="center"/>
    </xf>
    <xf numFmtId="0" fontId="3" fillId="3" borderId="17" xfId="0" applyFont="1" applyFill="1" applyBorder="1" applyAlignment="1">
      <alignment horizontal="center" vertical="center"/>
    </xf>
    <xf numFmtId="1" fontId="3" fillId="2" borderId="17" xfId="0" applyNumberFormat="1" applyFont="1" applyFill="1" applyBorder="1" applyAlignment="1">
      <alignment horizontal="center" vertical="center"/>
    </xf>
    <xf numFmtId="0" fontId="0" fillId="7" borderId="0" xfId="0" applyFill="1" applyBorder="1" applyAlignment="1">
      <alignment horizontal="center" vertical="center"/>
    </xf>
    <xf numFmtId="0" fontId="0" fillId="7" borderId="0" xfId="0" applyFill="1" applyBorder="1"/>
    <xf numFmtId="0" fontId="0" fillId="7" borderId="19" xfId="0" applyFill="1" applyBorder="1"/>
    <xf numFmtId="188" fontId="3" fillId="7" borderId="0" xfId="0" applyNumberFormat="1" applyFont="1" applyFill="1" applyBorder="1" applyAlignment="1">
      <alignment horizontal="center" vertical="center"/>
    </xf>
    <xf numFmtId="188" fontId="3" fillId="3" borderId="45" xfId="0" applyNumberFormat="1" applyFont="1" applyFill="1" applyBorder="1" applyAlignment="1">
      <alignment horizontal="center" vertical="center"/>
    </xf>
    <xf numFmtId="188" fontId="3" fillId="8" borderId="45" xfId="0" applyNumberFormat="1" applyFont="1" applyFill="1" applyBorder="1" applyAlignment="1">
      <alignment horizontal="center" vertical="center"/>
    </xf>
    <xf numFmtId="188" fontId="3" fillId="8" borderId="50" xfId="0" applyNumberFormat="1" applyFont="1" applyFill="1" applyBorder="1" applyAlignment="1">
      <alignment horizontal="center" vertical="center"/>
    </xf>
    <xf numFmtId="2" fontId="3" fillId="7" borderId="41" xfId="0" applyNumberFormat="1" applyFont="1" applyFill="1" applyBorder="1" applyAlignment="1">
      <alignment horizontal="center" vertical="center"/>
    </xf>
    <xf numFmtId="0" fontId="3" fillId="7" borderId="19" xfId="0" applyFont="1" applyFill="1" applyBorder="1"/>
    <xf numFmtId="0" fontId="3" fillId="7" borderId="22" xfId="0" applyFont="1" applyFill="1" applyBorder="1"/>
    <xf numFmtId="0" fontId="3" fillId="3" borderId="51" xfId="0" applyFont="1" applyFill="1" applyBorder="1" applyAlignment="1">
      <alignment horizontal="center" vertical="center" wrapText="1"/>
    </xf>
    <xf numFmtId="0" fontId="3" fillId="8" borderId="32" xfId="0" applyFont="1" applyFill="1" applyBorder="1" applyAlignment="1">
      <alignment horizontal="center" vertical="center"/>
    </xf>
    <xf numFmtId="0" fontId="1" fillId="0" borderId="0" xfId="21">
      <alignment/>
      <protection/>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4" fillId="4" borderId="39" xfId="0"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Euro" xfId="20"/>
    <cellStyle name="Normal_excel EIA"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3875"/>
          <c:y val="0.06775"/>
          <c:w val="0.82475"/>
          <c:h val="0.715"/>
        </c:manualLayout>
      </c:layout>
      <c:scatterChart>
        <c:scatterStyle val="lineMarker"/>
        <c:varyColors val="0"/>
        <c:ser>
          <c:idx val="0"/>
          <c:order val="0"/>
          <c:tx>
            <c:v>Ind4 vs CA</c:v>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'79-80'!$A$8:$A$27</c:f>
              <c:numCache/>
            </c:numRef>
          </c:xVal>
          <c:yVal>
            <c:numRef>
              <c:f>'79-80'!$B$8:$B$27</c:f>
              <c:numCache/>
            </c:numRef>
          </c:yVal>
          <c:smooth val="0"/>
        </c:ser>
        <c:axId val="33811019"/>
        <c:axId val="35863716"/>
      </c:scatterChart>
      <c:valAx>
        <c:axId val="33811019"/>
        <c:scaling>
          <c:orientation val="minMax"/>
          <c:max val="1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Índice</a:t>
                </a:r>
              </a:p>
            </c:rich>
          </c:tx>
          <c:layout>
            <c:manualLayout>
              <c:xMode val="edge"/>
              <c:yMode val="edge"/>
              <c:x val="0.508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35863716"/>
        <c:crosses val="autoZero"/>
        <c:crossBetween val="midCat"/>
        <c:dispUnits/>
      </c:valAx>
      <c:valAx>
        <c:axId val="35863716"/>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45"/>
              <c:y val="0.2397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33811019"/>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415"/>
          <c:y val="0.06775"/>
          <c:w val="0.8365"/>
          <c:h val="0.6787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'82-125'!$A$170:$A$199</c:f>
              <c:numCache/>
            </c:numRef>
          </c:xVal>
          <c:yVal>
            <c:numRef>
              <c:f>'82-125'!$B$170:$B$199</c:f>
              <c:numCache/>
            </c:numRef>
          </c:yVal>
          <c:smooth val="0"/>
        </c:ser>
        <c:axId val="55935509"/>
        <c:axId val="33657534"/>
      </c:scatterChart>
      <c:valAx>
        <c:axId val="55935509"/>
        <c:scaling>
          <c:orientation val="minMax"/>
          <c:max val="5"/>
          <c:min val="0"/>
        </c:scaling>
        <c:axPos val="b"/>
        <c:title>
          <c:tx>
            <c:rich>
              <a:bodyPr vert="horz" rot="0" anchor="ctr"/>
              <a:lstStyle/>
              <a:p>
                <a:pPr algn="ctr">
                  <a:defRPr/>
                </a:pPr>
                <a:r>
                  <a:rPr lang="en-US" cap="none" sz="800" b="1" i="0" u="none" baseline="0">
                    <a:solidFill>
                      <a:srgbClr val="000000"/>
                    </a:solidFill>
                    <a:latin typeface="Arial"/>
                    <a:ea typeface="Arial"/>
                    <a:cs typeface="Arial"/>
                  </a:rPr>
                  <a:t>Índice</a:t>
                </a:r>
              </a:p>
            </c:rich>
          </c:tx>
          <c:layout>
            <c:manualLayout>
              <c:xMode val="edge"/>
              <c:yMode val="edge"/>
              <c:x val="0.5122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33657534"/>
        <c:crosses val="autoZero"/>
        <c:crossBetween val="midCat"/>
        <c:dispUnits/>
      </c:valAx>
      <c:valAx>
        <c:axId val="33657534"/>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81"/>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5935509"/>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415"/>
          <c:y val="0.06775"/>
          <c:w val="0.8365"/>
          <c:h val="0.6787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'82-125'!$A$209:$A$238</c:f>
              <c:numCache/>
            </c:numRef>
          </c:xVal>
          <c:yVal>
            <c:numRef>
              <c:f>'82-125'!$B$209:$B$238</c:f>
              <c:numCache/>
            </c:numRef>
          </c:yVal>
          <c:smooth val="0"/>
        </c:ser>
        <c:axId val="34482351"/>
        <c:axId val="41905704"/>
      </c:scatterChart>
      <c:valAx>
        <c:axId val="34482351"/>
        <c:scaling>
          <c:orientation val="minMax"/>
          <c:max val="5"/>
          <c:min val="0"/>
        </c:scaling>
        <c:axPos val="b"/>
        <c:title>
          <c:tx>
            <c:rich>
              <a:bodyPr vert="horz" rot="0" anchor="ctr"/>
              <a:lstStyle/>
              <a:p>
                <a:pPr algn="ctr">
                  <a:defRPr/>
                </a:pPr>
                <a:r>
                  <a:rPr lang="en-US" cap="none" sz="800" b="1" i="0" u="none" baseline="0">
                    <a:solidFill>
                      <a:srgbClr val="000000"/>
                    </a:solidFill>
                    <a:latin typeface="Arial"/>
                    <a:ea typeface="Arial"/>
                    <a:cs typeface="Arial"/>
                  </a:rPr>
                  <a:t>Índice</a:t>
                </a:r>
              </a:p>
            </c:rich>
          </c:tx>
          <c:layout>
            <c:manualLayout>
              <c:xMode val="edge"/>
              <c:yMode val="edge"/>
              <c:x val="0.5122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41905704"/>
        <c:crosses val="autoZero"/>
        <c:crossBetween val="midCat"/>
        <c:dispUnits/>
      </c:valAx>
      <c:valAx>
        <c:axId val="41905704"/>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81"/>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34482351"/>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4075"/>
          <c:y val="0.06775"/>
          <c:w val="0.8375"/>
          <c:h val="0.6787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'82-125'!$A$248:$A$277</c:f>
              <c:numCache/>
            </c:numRef>
          </c:xVal>
          <c:yVal>
            <c:numRef>
              <c:f>'82-125'!$B$248:$B$277</c:f>
              <c:numCache/>
            </c:numRef>
          </c:yVal>
          <c:smooth val="0"/>
        </c:ser>
        <c:axId val="41607017"/>
        <c:axId val="38918834"/>
      </c:scatterChart>
      <c:valAx>
        <c:axId val="41607017"/>
        <c:scaling>
          <c:orientation val="minMax"/>
          <c:max val="5"/>
          <c:min val="0"/>
        </c:scaling>
        <c:axPos val="b"/>
        <c:title>
          <c:tx>
            <c:rich>
              <a:bodyPr vert="horz" rot="0" anchor="ctr"/>
              <a:lstStyle/>
              <a:p>
                <a:pPr algn="ctr">
                  <a:defRPr/>
                </a:pPr>
                <a:r>
                  <a:rPr lang="en-US" cap="none" sz="800" b="1" i="0" u="none" baseline="0">
                    <a:solidFill>
                      <a:srgbClr val="000000"/>
                    </a:solidFill>
                    <a:latin typeface="Arial"/>
                    <a:ea typeface="Arial"/>
                    <a:cs typeface="Arial"/>
                  </a:rPr>
                  <a:t>Índice</a:t>
                </a:r>
              </a:p>
            </c:rich>
          </c:tx>
          <c:layout>
            <c:manualLayout>
              <c:xMode val="edge"/>
              <c:yMode val="edge"/>
              <c:x val="0.5122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38918834"/>
        <c:crosses val="autoZero"/>
        <c:crossBetween val="midCat"/>
        <c:dispUnits/>
      </c:valAx>
      <c:valAx>
        <c:axId val="38918834"/>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81"/>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41607017"/>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41"/>
          <c:y val="0.06775"/>
          <c:w val="0.8225"/>
          <c:h val="0.6787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'82-125'!$A$287:$A$313</c:f>
              <c:numCache/>
            </c:numRef>
          </c:xVal>
          <c:yVal>
            <c:numRef>
              <c:f>'82-125'!$B$287:$B$313</c:f>
              <c:numCache/>
            </c:numRef>
          </c:yVal>
          <c:smooth val="0"/>
        </c:ser>
        <c:axId val="14725187"/>
        <c:axId val="65417820"/>
      </c:scatterChart>
      <c:valAx>
        <c:axId val="14725187"/>
        <c:scaling>
          <c:orientation val="minMax"/>
          <c:max val="2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Escala Pt/Co</a:t>
                </a:r>
              </a:p>
            </c:rich>
          </c:tx>
          <c:layout>
            <c:manualLayout>
              <c:xMode val="edge"/>
              <c:yMode val="edge"/>
              <c:x val="0.4647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65417820"/>
        <c:crosses val="autoZero"/>
        <c:crossBetween val="midCat"/>
        <c:dispUnits/>
      </c:valAx>
      <c:valAx>
        <c:axId val="65417820"/>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81"/>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14725187"/>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41"/>
          <c:y val="0.06775"/>
          <c:w val="0.82975"/>
          <c:h val="0.6787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'82-125'!$A$323:$A$343</c:f>
              <c:numCache/>
            </c:numRef>
          </c:xVal>
          <c:yVal>
            <c:numRef>
              <c:f>'82-125'!$B$323:$B$343</c:f>
              <c:numCache/>
            </c:numRef>
          </c:yVal>
          <c:smooth val="0"/>
        </c:ser>
        <c:axId val="51889469"/>
        <c:axId val="64352038"/>
      </c:scatterChart>
      <c:valAx>
        <c:axId val="51889469"/>
        <c:scaling>
          <c:orientation val="minMax"/>
          <c:max val="10"/>
          <c:min val="4"/>
        </c:scaling>
        <c:axPos val="b"/>
        <c:title>
          <c:tx>
            <c:rich>
              <a:bodyPr vert="horz" rot="0" anchor="ctr"/>
              <a:lstStyle/>
              <a:p>
                <a:pPr algn="ctr">
                  <a:defRPr/>
                </a:pPr>
                <a:r>
                  <a:rPr lang="en-US" cap="none" sz="800" b="1" i="0" u="none" baseline="0">
                    <a:solidFill>
                      <a:srgbClr val="000000"/>
                    </a:solidFill>
                    <a:latin typeface="Arial"/>
                    <a:ea typeface="Arial"/>
                    <a:cs typeface="Arial"/>
                  </a:rPr>
                  <a:t>Escala pH</a:t>
                </a:r>
              </a:p>
            </c:rich>
          </c:tx>
          <c:layout>
            <c:manualLayout>
              <c:xMode val="edge"/>
              <c:yMode val="edge"/>
              <c:x val="0.486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64352038"/>
        <c:crosses val="autoZero"/>
        <c:crossBetween val="midCat"/>
        <c:dispUnits/>
      </c:valAx>
      <c:valAx>
        <c:axId val="64352038"/>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81"/>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1889469"/>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415"/>
          <c:y val="0.06775"/>
          <c:w val="0.82925"/>
          <c:h val="0.6787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'82-125'!$A$353:$A$373</c:f>
              <c:numCache/>
            </c:numRef>
          </c:xVal>
          <c:yVal>
            <c:numRef>
              <c:f>'82-125'!$B$353:$B$373</c:f>
              <c:numCache/>
            </c:numRef>
          </c:yVal>
          <c:smooth val="0"/>
        </c:ser>
        <c:axId val="42297431"/>
        <c:axId val="45132560"/>
      </c:scatterChart>
      <c:valAx>
        <c:axId val="42297431"/>
        <c:scaling>
          <c:orientation val="minMax"/>
          <c:max val="25"/>
        </c:scaling>
        <c:axPos val="b"/>
        <c:title>
          <c:tx>
            <c:rich>
              <a:bodyPr vert="horz" rot="0" anchor="ctr"/>
              <a:lstStyle/>
              <a:p>
                <a:pPr algn="ctr">
                  <a:defRPr/>
                </a:pPr>
                <a:r>
                  <a:rPr lang="en-US" cap="none" sz="800" b="1" i="0" u="none" baseline="0">
                    <a:solidFill>
                      <a:srgbClr val="000000"/>
                    </a:solidFill>
                    <a:latin typeface="Arial"/>
                    <a:ea typeface="Arial"/>
                    <a:cs typeface="Arial"/>
                  </a:rPr>
                  <a:t>Sólidos en suspensión (mg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a:t>
                </a:r>
              </a:p>
            </c:rich>
          </c:tx>
          <c:layout>
            <c:manualLayout>
              <c:xMode val="edge"/>
              <c:yMode val="edge"/>
              <c:x val="0.34625"/>
              <c:y val="0.85975"/>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45132560"/>
        <c:crosses val="autoZero"/>
        <c:crossBetween val="midCat"/>
        <c:dispUnits/>
      </c:valAx>
      <c:valAx>
        <c:axId val="45132560"/>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81"/>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42297431"/>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41"/>
          <c:y val="0.06775"/>
          <c:w val="0.815"/>
          <c:h val="0.6787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'82-125'!$A$383:$A$403</c:f>
              <c:numCache/>
            </c:numRef>
          </c:xVal>
          <c:yVal>
            <c:numRef>
              <c:f>'82-125'!$B$383:$B$403</c:f>
              <c:numCache/>
            </c:numRef>
          </c:yVal>
          <c:smooth val="0"/>
        </c:ser>
        <c:axId val="3539857"/>
        <c:axId val="31858714"/>
      </c:scatterChart>
      <c:valAx>
        <c:axId val="3539857"/>
        <c:scaling>
          <c:orientation val="minMax"/>
          <c:max val="1000"/>
        </c:scaling>
        <c:axPos val="b"/>
        <c:title>
          <c:tx>
            <c:rich>
              <a:bodyPr vert="horz" rot="0" anchor="ctr"/>
              <a:lstStyle/>
              <a:p>
                <a:pPr algn="ctr">
                  <a:defRPr/>
                </a:pPr>
                <a:r>
                  <a:rPr lang="en-US" cap="none" sz="800" b="1" i="0" u="none" baseline="0">
                    <a:solidFill>
                      <a:srgbClr val="000000"/>
                    </a:solidFill>
                    <a:latin typeface="Arial"/>
                    <a:ea typeface="Arial"/>
                    <a:cs typeface="Arial"/>
                  </a:rPr>
                  <a:t>Conductividad (</a:t>
                </a:r>
                <a:r>
                  <a:rPr lang="en-US" cap="none" sz="800" b="1" i="0" u="none" baseline="0">
                    <a:solidFill>
                      <a:srgbClr val="000000"/>
                    </a:solidFill>
                    <a:latin typeface="Symbol"/>
                    <a:ea typeface="Symbol"/>
                    <a:cs typeface="Symbol"/>
                  </a:rPr>
                  <a:t>m</a:t>
                </a:r>
                <a:r>
                  <a:rPr lang="en-US" cap="none" sz="800" b="1" i="0" u="none" baseline="0">
                    <a:solidFill>
                      <a:srgbClr val="000000"/>
                    </a:solidFill>
                    <a:latin typeface="Arial"/>
                    <a:ea typeface="Arial"/>
                    <a:cs typeface="Arial"/>
                  </a:rPr>
                  <a:t>ohm cm</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a:t>
                </a:r>
              </a:p>
            </c:rich>
          </c:tx>
          <c:layout>
            <c:manualLayout>
              <c:xMode val="edge"/>
              <c:yMode val="edge"/>
              <c:x val="0.365"/>
              <c:y val="0.85975"/>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31858714"/>
        <c:crosses val="autoZero"/>
        <c:crossBetween val="midCat"/>
        <c:dispUnits/>
      </c:valAx>
      <c:valAx>
        <c:axId val="31858714"/>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81"/>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3539857"/>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41"/>
          <c:y val="0.06775"/>
          <c:w val="0.837"/>
          <c:h val="0.6787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'82-125'!$A$413:$A$433</c:f>
              <c:numCache/>
            </c:numRef>
          </c:xVal>
          <c:yVal>
            <c:numRef>
              <c:f>'82-125'!$B$413:$B$433</c:f>
              <c:numCache/>
            </c:numRef>
          </c:yVal>
          <c:smooth val="0"/>
        </c:ser>
        <c:axId val="18292971"/>
        <c:axId val="30419012"/>
      </c:scatterChart>
      <c:valAx>
        <c:axId val="18292971"/>
        <c:scaling>
          <c:orientation val="minMax"/>
          <c:max val="5"/>
        </c:scaling>
        <c:axPos val="b"/>
        <c:title>
          <c:tx>
            <c:rich>
              <a:bodyPr vert="horz" rot="0" anchor="ctr"/>
              <a:lstStyle/>
              <a:p>
                <a:pPr algn="ctr">
                  <a:defRPr/>
                </a:pPr>
                <a:r>
                  <a:rPr lang="en-US" cap="none" sz="800" b="1" i="0" u="none" baseline="0">
                    <a:solidFill>
                      <a:srgbClr val="000000"/>
                    </a:solidFill>
                    <a:latin typeface="Arial"/>
                    <a:ea typeface="Arial"/>
                    <a:cs typeface="Arial"/>
                  </a:rPr>
                  <a:t>Conductividad (</a:t>
                </a:r>
                <a:r>
                  <a:rPr lang="en-US" cap="none" sz="800" b="1" i="0" u="none" baseline="0">
                    <a:solidFill>
                      <a:srgbClr val="000000"/>
                    </a:solidFill>
                    <a:latin typeface="Symbol"/>
                    <a:ea typeface="Symbol"/>
                    <a:cs typeface="Symbol"/>
                  </a:rPr>
                  <a:t>m</a:t>
                </a:r>
                <a:r>
                  <a:rPr lang="en-US" cap="none" sz="800" b="1" i="0" u="none" baseline="0">
                    <a:solidFill>
                      <a:srgbClr val="000000"/>
                    </a:solidFill>
                    <a:latin typeface="Arial"/>
                    <a:ea typeface="Arial"/>
                    <a:cs typeface="Arial"/>
                  </a:rPr>
                  <a:t>ohm cm</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a:t>
                </a:r>
              </a:p>
            </c:rich>
          </c:tx>
          <c:layout>
            <c:manualLayout>
              <c:xMode val="edge"/>
              <c:yMode val="edge"/>
              <c:x val="0.37725"/>
              <c:y val="0.85975"/>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30419012"/>
        <c:crosses val="autoZero"/>
        <c:crossBetween val="midCat"/>
        <c:dispUnits/>
      </c:valAx>
      <c:valAx>
        <c:axId val="30419012"/>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81"/>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18292971"/>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5"/>
          <c:y val="0.0675"/>
          <c:w val="0.84625"/>
          <c:h val="0.7072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'82-125'!$A$443:$A$463</c:f>
              <c:numCache/>
            </c:numRef>
          </c:xVal>
          <c:yVal>
            <c:numRef>
              <c:f>'82-125'!$B$443:$B$463</c:f>
              <c:numCache/>
            </c:numRef>
          </c:yVal>
          <c:smooth val="0"/>
        </c:ser>
        <c:axId val="5335653"/>
        <c:axId val="48020878"/>
      </c:scatterChart>
      <c:valAx>
        <c:axId val="5335653"/>
        <c:scaling>
          <c:orientation val="minMax"/>
          <c:max val="30"/>
        </c:scaling>
        <c:axPos val="b"/>
        <c:title>
          <c:tx>
            <c:rich>
              <a:bodyPr vert="horz" rot="0" anchor="ctr"/>
              <a:lstStyle/>
              <a:p>
                <a:pPr algn="ctr">
                  <a:defRPr/>
                </a:pPr>
                <a:r>
                  <a:rPr lang="en-US" cap="none" sz="800" b="1" i="0" u="none" baseline="0">
                    <a:solidFill>
                      <a:srgbClr val="000000"/>
                    </a:solidFill>
                    <a:latin typeface="Arial"/>
                    <a:ea typeface="Arial"/>
                    <a:cs typeface="Arial"/>
                  </a:rPr>
                  <a:t>DQO (mg O</a:t>
                </a:r>
                <a:r>
                  <a:rPr lang="en-US" cap="none" sz="800" b="1" i="0" u="none" baseline="-25000">
                    <a:solidFill>
                      <a:srgbClr val="000000"/>
                    </a:solidFill>
                    <a:latin typeface="Arial"/>
                    <a:ea typeface="Arial"/>
                    <a:cs typeface="Arial"/>
                  </a:rPr>
                  <a:t>2</a:t>
                </a:r>
                <a:r>
                  <a:rPr lang="en-US" cap="none" sz="800" b="1" i="0" u="none" baseline="0">
                    <a:solidFill>
                      <a:srgbClr val="000000"/>
                    </a:solidFill>
                    <a:latin typeface="Arial"/>
                    <a:ea typeface="Arial"/>
                    <a:cs typeface="Arial"/>
                  </a:rPr>
                  <a:t>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a:t>
                </a:r>
              </a:p>
            </c:rich>
          </c:tx>
          <c:layout>
            <c:manualLayout>
              <c:xMode val="edge"/>
              <c:yMode val="edge"/>
              <c:x val="0.4415"/>
              <c:y val="0.8875"/>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48020878"/>
        <c:crosses val="autoZero"/>
        <c:crossBetween val="midCat"/>
        <c:dispUnits/>
      </c:valAx>
      <c:valAx>
        <c:axId val="48020878"/>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37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335653"/>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39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'82-125'!$A$473:$A$493</c:f>
              <c:numCache/>
            </c:numRef>
          </c:xVal>
          <c:yVal>
            <c:numRef>
              <c:f>'82-125'!$B$473:$B$493</c:f>
              <c:numCache/>
            </c:numRef>
          </c:yVal>
          <c:smooth val="0"/>
        </c:ser>
        <c:axId val="29534719"/>
        <c:axId val="64485880"/>
      </c:scatterChart>
      <c:valAx>
        <c:axId val="29534719"/>
        <c:scaling>
          <c:orientation val="minMax"/>
          <c:max val="100"/>
          <c:min val="30"/>
        </c:scaling>
        <c:axPos val="b"/>
        <c:title>
          <c:tx>
            <c:rich>
              <a:bodyPr vert="horz" rot="0" anchor="ctr"/>
              <a:lstStyle/>
              <a:p>
                <a:pPr algn="ctr">
                  <a:defRPr/>
                </a:pPr>
                <a:r>
                  <a:rPr lang="en-US" cap="none" sz="800" b="1" i="0" u="none" baseline="0">
                    <a:solidFill>
                      <a:srgbClr val="000000"/>
                    </a:solidFill>
                    <a:latin typeface="Arial"/>
                    <a:ea typeface="Arial"/>
                    <a:cs typeface="Arial"/>
                  </a:rPr>
                  <a:t>% saturación</a:t>
                </a:r>
              </a:p>
            </c:rich>
          </c:tx>
          <c:layout>
            <c:manualLayout>
              <c:xMode val="edge"/>
              <c:yMode val="edge"/>
              <c:x val="0.452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64485880"/>
        <c:crosses val="autoZero"/>
        <c:crossBetween val="midCat"/>
        <c:dispUnits/>
      </c:valAx>
      <c:valAx>
        <c:axId val="64485880"/>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29534719"/>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3875"/>
          <c:y val="0.06775"/>
          <c:w val="0.82475"/>
          <c:h val="0.71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'79-80'!$A$37:$A$56</c:f>
              <c:numCache/>
            </c:numRef>
          </c:xVal>
          <c:yVal>
            <c:numRef>
              <c:f>'79-80'!$B$37:$B$56</c:f>
              <c:numCache/>
            </c:numRef>
          </c:yVal>
          <c:smooth val="0"/>
        </c:ser>
        <c:axId val="54337989"/>
        <c:axId val="19279854"/>
      </c:scatterChart>
      <c:valAx>
        <c:axId val="54337989"/>
        <c:scaling>
          <c:orientation val="minMax"/>
          <c:max val="1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Índice</a:t>
                </a:r>
              </a:p>
            </c:rich>
          </c:tx>
          <c:layout>
            <c:manualLayout>
              <c:xMode val="edge"/>
              <c:yMode val="edge"/>
              <c:x val="0.508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19279854"/>
        <c:crosses val="autoZero"/>
        <c:crossBetween val="midCat"/>
        <c:dispUnits/>
      </c:valAx>
      <c:valAx>
        <c:axId val="19279854"/>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45"/>
              <c:y val="0.2397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4337989"/>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54"/>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'82-125'!$A$503:$A$523</c:f>
              <c:numCache/>
            </c:numRef>
          </c:xVal>
          <c:yVal>
            <c:numRef>
              <c:f>'82-125'!$B$503:$B$523</c:f>
              <c:numCache/>
            </c:numRef>
          </c:yVal>
          <c:smooth val="0"/>
        </c:ser>
        <c:axId val="43502009"/>
        <c:axId val="55973762"/>
      </c:scatterChart>
      <c:valAx>
        <c:axId val="43502009"/>
        <c:scaling>
          <c:orientation val="minMax"/>
          <c:max val="7"/>
          <c:min val="0"/>
        </c:scaling>
        <c:axPos val="b"/>
        <c:title>
          <c:tx>
            <c:rich>
              <a:bodyPr vert="horz" rot="0" anchor="ctr"/>
              <a:lstStyle/>
              <a:p>
                <a:pPr algn="ctr">
                  <a:defRPr/>
                </a:pPr>
                <a:r>
                  <a:rPr lang="en-US" cap="none" sz="800" b="1" i="0" u="none" baseline="0">
                    <a:solidFill>
                      <a:srgbClr val="000000"/>
                    </a:solidFill>
                    <a:latin typeface="Arial"/>
                    <a:ea typeface="Arial"/>
                    <a:cs typeface="Arial"/>
                  </a:rPr>
                  <a:t>DBO (mg O2  l-1)</a:t>
                </a:r>
              </a:p>
            </c:rich>
          </c:tx>
          <c:layout>
            <c:manualLayout>
              <c:xMode val="edge"/>
              <c:yMode val="edge"/>
              <c:x val="0.440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55973762"/>
        <c:crosses val="autoZero"/>
        <c:crossBetween val="midCat"/>
        <c:dispUnits/>
      </c:valAx>
      <c:valAx>
        <c:axId val="55973762"/>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43502009"/>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247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'82-125'!$A$533:$A$553</c:f>
              <c:numCache/>
            </c:numRef>
          </c:xVal>
          <c:yVal>
            <c:numRef>
              <c:f>'82-125'!$B$533:$B$553</c:f>
              <c:numCache/>
            </c:numRef>
          </c:yVal>
          <c:smooth val="0"/>
        </c:ser>
        <c:axId val="34001811"/>
        <c:axId val="37580844"/>
      </c:scatterChart>
      <c:valAx>
        <c:axId val="34001811"/>
        <c:scaling>
          <c:orientation val="minMax"/>
          <c:max val="500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Nº / 100ml (a 37ºC)</a:t>
                </a:r>
              </a:p>
            </c:rich>
          </c:tx>
          <c:layout>
            <c:manualLayout>
              <c:xMode val="edge"/>
              <c:yMode val="edge"/>
              <c:x val="0.4137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37580844"/>
        <c:crosses val="autoZero"/>
        <c:crossBetween val="midCat"/>
        <c:dispUnits/>
      </c:valAx>
      <c:valAx>
        <c:axId val="37580844"/>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34001811"/>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247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'82-125'!$A$563:$A$583</c:f>
              <c:numCache/>
            </c:numRef>
          </c:xVal>
          <c:yVal>
            <c:numRef>
              <c:f>'82-125'!$B$563:$B$583</c:f>
              <c:numCache/>
            </c:numRef>
          </c:yVal>
          <c:smooth val="0"/>
        </c:ser>
        <c:axId val="2683277"/>
        <c:axId val="24149494"/>
      </c:scatterChart>
      <c:valAx>
        <c:axId val="2683277"/>
        <c:scaling>
          <c:orientation val="minMax"/>
          <c:max val="200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Nº / 100ml</a:t>
                </a:r>
              </a:p>
            </c:rich>
          </c:tx>
          <c:layout>
            <c:manualLayout>
              <c:xMode val="edge"/>
              <c:yMode val="edge"/>
              <c:x val="0.4672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24149494"/>
        <c:crosses val="autoZero"/>
        <c:crossBetween val="midCat"/>
        <c:dispUnits/>
      </c:valAx>
      <c:valAx>
        <c:axId val="24149494"/>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2683277"/>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247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'82-125'!$A$593:$A$613</c:f>
              <c:numCache/>
            </c:numRef>
          </c:xVal>
          <c:yVal>
            <c:numRef>
              <c:f>'82-125'!$B$593:$B$613</c:f>
              <c:numCache/>
            </c:numRef>
          </c:yVal>
          <c:smooth val="0"/>
        </c:ser>
        <c:axId val="16018855"/>
        <c:axId val="9951968"/>
      </c:scatterChart>
      <c:valAx>
        <c:axId val="16018855"/>
        <c:scaling>
          <c:orientation val="minMax"/>
          <c:max val="100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Nº / 100ml</a:t>
                </a:r>
              </a:p>
            </c:rich>
          </c:tx>
          <c:layout>
            <c:manualLayout>
              <c:xMode val="edge"/>
              <c:yMode val="edge"/>
              <c:x val="0.4672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9951968"/>
        <c:crosses val="autoZero"/>
        <c:crossBetween val="midCat"/>
        <c:dispUnits/>
      </c:valAx>
      <c:valAx>
        <c:axId val="9951968"/>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16018855"/>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32"/>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'82-125'!$A$623:$A$643</c:f>
              <c:numCache/>
            </c:numRef>
          </c:xVal>
          <c:yVal>
            <c:numRef>
              <c:f>'82-125'!$B$623:$B$643</c:f>
              <c:numCache/>
            </c:numRef>
          </c:yVal>
          <c:smooth val="0"/>
        </c:ser>
        <c:axId val="22458849"/>
        <c:axId val="803050"/>
      </c:scatterChart>
      <c:valAx>
        <c:axId val="22458849"/>
        <c:scaling>
          <c:orientation val="minMax"/>
          <c:max val="30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ml / salmonela</a:t>
                </a:r>
              </a:p>
            </c:rich>
          </c:tx>
          <c:layout>
            <c:manualLayout>
              <c:xMode val="edge"/>
              <c:yMode val="edge"/>
              <c:x val="0.438"/>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803050"/>
        <c:crosses val="autoZero"/>
        <c:crossBetween val="midCat"/>
        <c:dispUnits/>
      </c:valAx>
      <c:valAx>
        <c:axId val="803050"/>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22458849"/>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'82-125'!$A$653:$A$673</c:f>
              <c:numCache/>
            </c:numRef>
          </c:xVal>
          <c:yVal>
            <c:numRef>
              <c:f>'82-125'!$B$653:$B$673</c:f>
              <c:numCache/>
            </c:numRef>
          </c:yVal>
          <c:smooth val="0"/>
        </c:ser>
        <c:axId val="7227451"/>
        <c:axId val="65047060"/>
      </c:scatterChart>
      <c:valAx>
        <c:axId val="7227451"/>
        <c:scaling>
          <c:orientation val="minMax"/>
          <c:max val="0.5"/>
          <c:min val="0"/>
        </c:scaling>
        <c:axPos val="b"/>
        <c:title>
          <c:tx>
            <c:rich>
              <a:bodyPr vert="horz" rot="0" anchor="ctr"/>
              <a:lstStyle/>
              <a:p>
                <a:pPr algn="ctr">
                  <a:defRPr/>
                </a:pPr>
                <a:r>
                  <a:rPr lang="en-US" cap="none" sz="800" b="1" i="0" u="none" baseline="0">
                    <a:solidFill>
                      <a:srgbClr val="000000"/>
                    </a:solidFill>
                    <a:latin typeface="Arial"/>
                    <a:ea typeface="Arial"/>
                    <a:cs typeface="Arial"/>
                  </a:rPr>
                  <a:t>laurilsulfato (mg ml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a:t>
                </a:r>
              </a:p>
            </c:rich>
          </c:tx>
          <c:layout>
            <c:manualLayout>
              <c:xMode val="edge"/>
              <c:yMode val="edge"/>
              <c:x val="0.399"/>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65047060"/>
        <c:crosses val="autoZero"/>
        <c:crossBetween val="midCat"/>
        <c:dispUnits/>
      </c:valAx>
      <c:valAx>
        <c:axId val="65047060"/>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7227451"/>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'82-125'!$A$683:$A$703</c:f>
              <c:numCache/>
            </c:numRef>
          </c:xVal>
          <c:yVal>
            <c:numRef>
              <c:f>'82-125'!$B$683:$B$703</c:f>
              <c:numCache/>
            </c:numRef>
          </c:yVal>
          <c:smooth val="0"/>
        </c:ser>
        <c:axId val="48552629"/>
        <c:axId val="34320478"/>
      </c:scatterChart>
      <c:valAx>
        <c:axId val="48552629"/>
        <c:scaling>
          <c:orientation val="minMax"/>
          <c:max val="3"/>
          <c:min val="0"/>
        </c:scaling>
        <c:axPos val="b"/>
        <c:title>
          <c:tx>
            <c:rich>
              <a:bodyPr vert="horz" rot="0" anchor="ctr"/>
              <a:lstStyle/>
              <a:p>
                <a:pPr algn="ctr">
                  <a:defRPr/>
                </a:pPr>
                <a:r>
                  <a:rPr lang="en-US" cap="none" sz="800" b="1" i="0" u="none" baseline="0">
                    <a:solidFill>
                      <a:srgbClr val="000000"/>
                    </a:solidFill>
                    <a:latin typeface="Arial"/>
                    <a:ea typeface="Arial"/>
                    <a:cs typeface="Arial"/>
                  </a:rPr>
                  <a:t>Nitrógeno (mg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a:t>
                </a:r>
              </a:p>
            </c:rich>
          </c:tx>
          <c:layout>
            <c:manualLayout>
              <c:xMode val="edge"/>
              <c:yMode val="edge"/>
              <c:x val="0.425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34320478"/>
        <c:crosses val="autoZero"/>
        <c:crossBetween val="midCat"/>
        <c:dispUnits/>
      </c:valAx>
      <c:valAx>
        <c:axId val="34320478"/>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48552629"/>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'82-125'!$A$713:$A$733</c:f>
              <c:numCache/>
            </c:numRef>
          </c:xVal>
          <c:yVal>
            <c:numRef>
              <c:f>'82-125'!$B$713:$B$733</c:f>
              <c:numCache/>
            </c:numRef>
          </c:yVal>
          <c:smooth val="0"/>
        </c:ser>
        <c:axId val="40448847"/>
        <c:axId val="28495304"/>
      </c:scatterChart>
      <c:valAx>
        <c:axId val="40448847"/>
        <c:scaling>
          <c:orientation val="minMax"/>
          <c:max val="4"/>
          <c:min val="0"/>
        </c:scaling>
        <c:axPos val="b"/>
        <c:title>
          <c:tx>
            <c:rich>
              <a:bodyPr vert="horz" rot="0" anchor="ctr"/>
              <a:lstStyle/>
              <a:p>
                <a:pPr algn="ctr">
                  <a:defRPr/>
                </a:pPr>
                <a:r>
                  <a:rPr lang="en-US" cap="none" sz="800" b="1" i="0" u="none" baseline="0">
                    <a:solidFill>
                      <a:srgbClr val="000000"/>
                    </a:solidFill>
                    <a:latin typeface="Arial"/>
                    <a:ea typeface="Arial"/>
                    <a:cs typeface="Arial"/>
                  </a:rPr>
                  <a:t>Amoniaco (mg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a:t>
                </a:r>
              </a:p>
            </c:rich>
          </c:tx>
          <c:layout>
            <c:manualLayout>
              <c:xMode val="edge"/>
              <c:yMode val="edge"/>
              <c:x val="0.4232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28495304"/>
        <c:crosses val="autoZero"/>
        <c:crossBetween val="midCat"/>
        <c:dispUnits/>
      </c:valAx>
      <c:valAx>
        <c:axId val="28495304"/>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40448847"/>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'82-125'!$A$743:$A$763</c:f>
              <c:numCache/>
            </c:numRef>
          </c:xVal>
          <c:yVal>
            <c:numRef>
              <c:f>'82-125'!$B$743:$B$763</c:f>
              <c:numCache/>
            </c:numRef>
          </c:yVal>
          <c:smooth val="0"/>
        </c:ser>
        <c:axId val="55131145"/>
        <c:axId val="26418258"/>
      </c:scatterChart>
      <c:valAx>
        <c:axId val="55131145"/>
        <c:scaling>
          <c:orientation val="minMax"/>
          <c:max val="0.5"/>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3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26418258"/>
        <c:crosses val="autoZero"/>
        <c:crossBetween val="midCat"/>
        <c:dispUnits/>
      </c:valAx>
      <c:valAx>
        <c:axId val="26418258"/>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5131145"/>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'82-125'!$A$773:$A$793</c:f>
              <c:numCache/>
            </c:numRef>
          </c:xVal>
          <c:yVal>
            <c:numRef>
              <c:f>'82-125'!$B$773:$B$793</c:f>
              <c:numCache/>
            </c:numRef>
          </c:yVal>
          <c:smooth val="0"/>
        </c:ser>
        <c:axId val="36437731"/>
        <c:axId val="59504124"/>
      </c:scatterChart>
      <c:valAx>
        <c:axId val="36437731"/>
        <c:scaling>
          <c:orientation val="minMax"/>
          <c:max val="0.7"/>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3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59504124"/>
        <c:crosses val="autoZero"/>
        <c:crossBetween val="midCat"/>
        <c:dispUnits/>
      </c:valAx>
      <c:valAx>
        <c:axId val="59504124"/>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36437731"/>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3875"/>
          <c:y val="0.06775"/>
          <c:w val="0.82475"/>
          <c:h val="0.715"/>
        </c:manualLayout>
      </c:layout>
      <c:scatterChart>
        <c:scatterStyle val="lineMarker"/>
        <c:varyColors val="0"/>
        <c:ser>
          <c:idx val="0"/>
          <c:order val="0"/>
          <c:tx>
            <c:v>Ind4 vs CA</c:v>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'81'!$A$8:$A$36</c:f>
              <c:numCache/>
            </c:numRef>
          </c:xVal>
          <c:yVal>
            <c:numRef>
              <c:f>'81'!$B$8:$B$36</c:f>
              <c:numCache/>
            </c:numRef>
          </c:yVal>
          <c:smooth val="0"/>
        </c:ser>
        <c:axId val="39300959"/>
        <c:axId val="18164312"/>
      </c:scatterChart>
      <c:valAx>
        <c:axId val="39300959"/>
        <c:scaling>
          <c:orientation val="minMax"/>
          <c:max val="1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Índice</a:t>
                </a:r>
              </a:p>
            </c:rich>
          </c:tx>
          <c:layout>
            <c:manualLayout>
              <c:xMode val="edge"/>
              <c:yMode val="edge"/>
              <c:x val="0.508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18164312"/>
        <c:crosses val="autoZero"/>
        <c:crossBetween val="midCat"/>
        <c:dispUnits/>
      </c:valAx>
      <c:valAx>
        <c:axId val="18164312"/>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45"/>
              <c:y val="0.2397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39300959"/>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37"/>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'82-125'!$A$803:$A$823</c:f>
              <c:numCache/>
            </c:numRef>
          </c:xVal>
          <c:yVal>
            <c:numRef>
              <c:f>'82-125'!$B$803:$B$823</c:f>
              <c:numCache/>
            </c:numRef>
          </c:yVal>
          <c:smooth val="0"/>
        </c:ser>
        <c:axId val="65775069"/>
        <c:axId val="55104710"/>
      </c:scatterChart>
      <c:valAx>
        <c:axId val="65775069"/>
        <c:scaling>
          <c:orientation val="minMax"/>
          <c:max val="0.1"/>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125"/>
              <c:y val="0.888"/>
            </c:manualLayout>
          </c:layout>
          <c:overlay val="0"/>
          <c:spPr>
            <a:noFill/>
            <a:ln w="25400">
              <a:noFill/>
            </a:ln>
          </c:spPr>
        </c:title>
        <c:delete val="0"/>
        <c:numFmt formatCode="0.00" sourceLinked="0"/>
        <c:majorTickMark val="out"/>
        <c:minorTickMark val="none"/>
        <c:tickLblPos val="nextTo"/>
        <c:spPr>
          <a:ln w="3175">
            <a:solidFill>
              <a:srgbClr val="000000"/>
            </a:solidFill>
            <a:prstDash val="solid"/>
          </a:ln>
        </c:spPr>
        <c:crossAx val="55104710"/>
        <c:crosses val="autoZero"/>
        <c:crossBetween val="midCat"/>
        <c:dispUnits/>
      </c:valAx>
      <c:valAx>
        <c:axId val="55104710"/>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65775069"/>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'82-125'!$A$833:$A$853</c:f>
              <c:numCache/>
            </c:numRef>
          </c:xVal>
          <c:yVal>
            <c:numRef>
              <c:f>'82-125'!$B$833:$B$853</c:f>
              <c:numCache/>
            </c:numRef>
          </c:yVal>
          <c:smooth val="0"/>
        </c:ser>
        <c:axId val="26180343"/>
        <c:axId val="34296496"/>
      </c:scatterChart>
      <c:valAx>
        <c:axId val="26180343"/>
        <c:scaling>
          <c:orientation val="minMax"/>
          <c:max val="1"/>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3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34296496"/>
        <c:crosses val="autoZero"/>
        <c:crossBetween val="midCat"/>
        <c:dispUnits/>
      </c:valAx>
      <c:valAx>
        <c:axId val="34296496"/>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26180343"/>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'82-125'!$A$863:$A$883</c:f>
              <c:numCache/>
            </c:numRef>
          </c:xVal>
          <c:yVal>
            <c:numRef>
              <c:f>'82-125'!$B$863:$B$883</c:f>
              <c:numCache/>
            </c:numRef>
          </c:yVal>
          <c:smooth val="0"/>
        </c:ser>
        <c:axId val="40233009"/>
        <c:axId val="26552762"/>
      </c:scatterChart>
      <c:valAx>
        <c:axId val="40233009"/>
        <c:scaling>
          <c:orientation val="minMax"/>
          <c:max val="1"/>
          <c:min val="0"/>
        </c:scaling>
        <c:axPos val="b"/>
        <c:title>
          <c:tx>
            <c:rich>
              <a:bodyPr vert="horz" rot="0" anchor="ctr"/>
              <a:lstStyle/>
              <a:p>
                <a:pPr algn="ctr">
                  <a:defRPr/>
                </a:pPr>
                <a:r>
                  <a:rPr lang="en-US" cap="none" sz="800" b="1" i="0" u="none" baseline="0">
                    <a:solidFill>
                      <a:srgbClr val="000000"/>
                    </a:solidFill>
                    <a:latin typeface="Symbol"/>
                    <a:ea typeface="Symbol"/>
                    <a:cs typeface="Symbol"/>
                  </a:rPr>
                  <a:t>m</a:t>
                </a:r>
                <a:r>
                  <a:rPr lang="en-US" cap="none" sz="800" b="1" i="0" u="none" baseline="0">
                    <a:solidFill>
                      <a:srgbClr val="000000"/>
                    </a:solidFill>
                    <a:latin typeface="Arial"/>
                    <a:ea typeface="Arial"/>
                    <a:cs typeface="Arial"/>
                  </a:rPr>
                  <a:t>g l</a:t>
                </a:r>
                <a:r>
                  <a:rPr lang="en-US" cap="none" sz="800" b="1" i="0" u="none" baseline="30000">
                    <a:solidFill>
                      <a:srgbClr val="000000"/>
                    </a:solidFill>
                    <a:latin typeface="Arial"/>
                    <a:ea typeface="Arial"/>
                    <a:cs typeface="Arial"/>
                  </a:rPr>
                  <a:t>-1</a:t>
                </a:r>
              </a:p>
            </c:rich>
          </c:tx>
          <c:layout>
            <c:manualLayout>
              <c:xMode val="edge"/>
              <c:yMode val="edge"/>
              <c:x val="0.508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26552762"/>
        <c:crosses val="autoZero"/>
        <c:crossBetween val="midCat"/>
        <c:dispUnits/>
      </c:valAx>
      <c:valAx>
        <c:axId val="26552762"/>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40233009"/>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67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'82-125'!$A$893:$A$913</c:f>
              <c:numCache/>
            </c:numRef>
          </c:xVal>
          <c:yVal>
            <c:numRef>
              <c:f>'82-125'!$B$893:$B$913</c:f>
              <c:numCache/>
            </c:numRef>
          </c:yVal>
          <c:smooth val="0"/>
        </c:ser>
        <c:axId val="37648267"/>
        <c:axId val="3290084"/>
      </c:scatterChart>
      <c:valAx>
        <c:axId val="37648267"/>
        <c:scaling>
          <c:orientation val="minMax"/>
          <c:max val="50"/>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6"/>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3290084"/>
        <c:crosses val="autoZero"/>
        <c:crossBetween val="midCat"/>
        <c:dispUnits/>
      </c:valAx>
      <c:valAx>
        <c:axId val="3290084"/>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37648267"/>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'82-125'!$A$923:$A$943</c:f>
              <c:numCache/>
            </c:numRef>
          </c:xVal>
          <c:yVal>
            <c:numRef>
              <c:f>'82-125'!$B$923:$B$943</c:f>
              <c:numCache/>
            </c:numRef>
          </c:yVal>
          <c:smooth val="0"/>
        </c:ser>
        <c:axId val="29610757"/>
        <c:axId val="65170222"/>
      </c:scatterChart>
      <c:valAx>
        <c:axId val="29610757"/>
        <c:scaling>
          <c:orientation val="minMax"/>
          <c:max val="1.7"/>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3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65170222"/>
        <c:crosses val="autoZero"/>
        <c:crossBetween val="midCat"/>
        <c:dispUnits/>
      </c:valAx>
      <c:valAx>
        <c:axId val="65170222"/>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29610757"/>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'82-125'!$A$953:$A$973</c:f>
              <c:numCache/>
            </c:numRef>
          </c:xVal>
          <c:yVal>
            <c:numRef>
              <c:f>'82-125'!$B$953:$B$973</c:f>
              <c:numCache/>
            </c:numRef>
          </c:yVal>
          <c:smooth val="0"/>
        </c:ser>
        <c:axId val="49661087"/>
        <c:axId val="44296600"/>
      </c:scatterChart>
      <c:valAx>
        <c:axId val="49661087"/>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3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44296600"/>
        <c:crosses val="autoZero"/>
        <c:crossBetween val="midCat"/>
        <c:dispUnits/>
      </c:valAx>
      <c:valAx>
        <c:axId val="44296600"/>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49661087"/>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'82-125'!$A$983:$A$1003</c:f>
              <c:numCache/>
            </c:numRef>
          </c:xVal>
          <c:yVal>
            <c:numRef>
              <c:f>'82-125'!$B$983:$B$1003</c:f>
              <c:numCache/>
            </c:numRef>
          </c:yVal>
          <c:smooth val="0"/>
        </c:ser>
        <c:axId val="63125081"/>
        <c:axId val="31254818"/>
      </c:scatterChart>
      <c:valAx>
        <c:axId val="63125081"/>
        <c:scaling>
          <c:orientation val="minMax"/>
          <c:max val="1"/>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3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31254818"/>
        <c:crosses val="autoZero"/>
        <c:crossBetween val="midCat"/>
        <c:dispUnits/>
      </c:valAx>
      <c:valAx>
        <c:axId val="31254818"/>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63125081"/>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'82-125'!$A$1013:$A$1033</c:f>
              <c:numCache/>
            </c:numRef>
          </c:xVal>
          <c:yVal>
            <c:numRef>
              <c:f>'82-125'!$B$1013:$B$1033</c:f>
              <c:numCache/>
            </c:numRef>
          </c:yVal>
          <c:smooth val="0"/>
        </c:ser>
        <c:axId val="12857907"/>
        <c:axId val="48612300"/>
      </c:scatterChart>
      <c:valAx>
        <c:axId val="12857907"/>
        <c:scaling>
          <c:orientation val="minMax"/>
          <c:max val="1"/>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3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48612300"/>
        <c:crosses val="autoZero"/>
        <c:crossBetween val="midCat"/>
        <c:dispUnits/>
      </c:valAx>
      <c:valAx>
        <c:axId val="48612300"/>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12857907"/>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54"/>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'82-125'!$A$1043:$A$1063</c:f>
              <c:numCache/>
            </c:numRef>
          </c:xVal>
          <c:yVal>
            <c:numRef>
              <c:f>'82-125'!$B$1043:$B$1063</c:f>
              <c:numCache/>
            </c:numRef>
          </c:yVal>
          <c:smooth val="0"/>
        </c:ser>
        <c:axId val="34857517"/>
        <c:axId val="45282198"/>
      </c:scatterChart>
      <c:valAx>
        <c:axId val="34857517"/>
        <c:scaling>
          <c:orientation val="minMax"/>
          <c:max val="5"/>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8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45282198"/>
        <c:crosses val="autoZero"/>
        <c:crossBetween val="midCat"/>
        <c:dispUnits/>
      </c:valAx>
      <c:valAx>
        <c:axId val="45282198"/>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34857517"/>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'82-125'!$A$1073:$A$1093</c:f>
              <c:numCache/>
            </c:numRef>
          </c:xVal>
          <c:yVal>
            <c:numRef>
              <c:f>'82-125'!$B$1073:$B$1093</c:f>
              <c:numCache/>
            </c:numRef>
          </c:yVal>
          <c:smooth val="0"/>
        </c:ser>
        <c:axId val="4886599"/>
        <c:axId val="43979392"/>
      </c:scatterChart>
      <c:valAx>
        <c:axId val="4886599"/>
        <c:scaling>
          <c:orientation val="minMax"/>
          <c:max val="1"/>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3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43979392"/>
        <c:crosses val="autoZero"/>
        <c:crossBetween val="midCat"/>
        <c:dispUnits/>
      </c:valAx>
      <c:valAx>
        <c:axId val="43979392"/>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4886599"/>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3875"/>
          <c:y val="0.06775"/>
          <c:w val="0.82475"/>
          <c:h val="0.715"/>
        </c:manualLayout>
      </c:layout>
      <c:scatterChart>
        <c:scatterStyle val="lineMarker"/>
        <c:varyColors val="0"/>
        <c:ser>
          <c:idx val="0"/>
          <c:order val="0"/>
          <c:tx>
            <c:v>Ind4 vs CA</c:v>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'82-125'!$A$8:$A$28</c:f>
              <c:numCache/>
            </c:numRef>
          </c:xVal>
          <c:yVal>
            <c:numRef>
              <c:f>'82-125'!$B$8:$B$28</c:f>
              <c:numCache/>
            </c:numRef>
          </c:yVal>
          <c:smooth val="0"/>
        </c:ser>
        <c:axId val="29261081"/>
        <c:axId val="62023138"/>
      </c:scatterChart>
      <c:valAx>
        <c:axId val="29261081"/>
        <c:scaling>
          <c:orientation val="minMax"/>
          <c:max val="1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ICG</a:t>
                </a:r>
              </a:p>
            </c:rich>
          </c:tx>
          <c:layout>
            <c:manualLayout>
              <c:xMode val="edge"/>
              <c:yMode val="edge"/>
              <c:x val="0.525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62023138"/>
        <c:crosses val="autoZero"/>
        <c:crossBetween val="midCat"/>
        <c:dispUnits/>
      </c:valAx>
      <c:valAx>
        <c:axId val="62023138"/>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45"/>
              <c:y val="0.2397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29261081"/>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37"/>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'82-125'!$A$1103:$A$1123</c:f>
              <c:numCache/>
            </c:numRef>
          </c:xVal>
          <c:yVal>
            <c:numRef>
              <c:f>'82-125'!$B$1103:$B$1123</c:f>
              <c:numCache/>
            </c:numRef>
          </c:yVal>
          <c:smooth val="0"/>
        </c:ser>
        <c:axId val="60270209"/>
        <c:axId val="5560970"/>
      </c:scatterChart>
      <c:valAx>
        <c:axId val="60270209"/>
        <c:scaling>
          <c:orientation val="minMax"/>
          <c:max val="0.1"/>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125"/>
              <c:y val="0.888"/>
            </c:manualLayout>
          </c:layout>
          <c:overlay val="0"/>
          <c:spPr>
            <a:noFill/>
            <a:ln w="25400">
              <a:noFill/>
            </a:ln>
          </c:spPr>
        </c:title>
        <c:delete val="0"/>
        <c:numFmt formatCode="0.00" sourceLinked="0"/>
        <c:majorTickMark val="out"/>
        <c:minorTickMark val="none"/>
        <c:tickLblPos val="nextTo"/>
        <c:spPr>
          <a:ln w="3175">
            <a:solidFill>
              <a:srgbClr val="000000"/>
            </a:solidFill>
            <a:prstDash val="solid"/>
          </a:ln>
        </c:spPr>
        <c:crossAx val="5560970"/>
        <c:crosses val="autoZero"/>
        <c:crossBetween val="midCat"/>
        <c:dispUnits/>
      </c:valAx>
      <c:valAx>
        <c:axId val="5560970"/>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60270209"/>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54"/>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'82-125'!$A$1133:$A$1153</c:f>
              <c:numCache/>
            </c:numRef>
          </c:xVal>
          <c:yVal>
            <c:numRef>
              <c:f>'82-125'!$B$1133:$B$1153</c:f>
              <c:numCache/>
            </c:numRef>
          </c:yVal>
          <c:smooth val="0"/>
        </c:ser>
        <c:axId val="50048731"/>
        <c:axId val="47785396"/>
      </c:scatterChart>
      <c:valAx>
        <c:axId val="50048731"/>
        <c:scaling>
          <c:orientation val="minMax"/>
          <c:max val="5"/>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 (x100)</a:t>
                </a:r>
              </a:p>
            </c:rich>
          </c:tx>
          <c:layout>
            <c:manualLayout>
              <c:xMode val="edge"/>
              <c:yMode val="edge"/>
              <c:x val="0.4672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47785396"/>
        <c:crosses val="autoZero"/>
        <c:crossBetween val="midCat"/>
        <c:dispUnits/>
      </c:valAx>
      <c:valAx>
        <c:axId val="47785396"/>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0048731"/>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54"/>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'82-125'!$A$1163:$A$1183</c:f>
              <c:numCache/>
            </c:numRef>
          </c:xVal>
          <c:yVal>
            <c:numRef>
              <c:f>'82-125'!$B$1163:$B$1183</c:f>
              <c:numCache/>
            </c:numRef>
          </c:yVal>
          <c:smooth val="0"/>
        </c:ser>
        <c:axId val="27415381"/>
        <c:axId val="45411838"/>
      </c:scatterChart>
      <c:valAx>
        <c:axId val="27415381"/>
        <c:scaling>
          <c:orientation val="minMax"/>
          <c:max val="5"/>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 (x100)</a:t>
                </a:r>
              </a:p>
            </c:rich>
          </c:tx>
          <c:layout>
            <c:manualLayout>
              <c:xMode val="edge"/>
              <c:yMode val="edge"/>
              <c:x val="0.4672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45411838"/>
        <c:crosses val="autoZero"/>
        <c:crossBetween val="midCat"/>
        <c:dispUnits/>
      </c:valAx>
      <c:valAx>
        <c:axId val="45411838"/>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27415381"/>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54"/>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'82-125'!$A$1193:$A$1213</c:f>
              <c:numCache/>
            </c:numRef>
          </c:xVal>
          <c:yVal>
            <c:numRef>
              <c:f>'82-125'!$B$1193:$B$1213</c:f>
              <c:numCache/>
            </c:numRef>
          </c:yVal>
          <c:smooth val="0"/>
        </c:ser>
        <c:axId val="6053359"/>
        <c:axId val="54480232"/>
      </c:scatterChart>
      <c:valAx>
        <c:axId val="6053359"/>
        <c:scaling>
          <c:orientation val="minMax"/>
          <c:max val="5"/>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 (x100)</a:t>
                </a:r>
              </a:p>
            </c:rich>
          </c:tx>
          <c:layout>
            <c:manualLayout>
              <c:xMode val="edge"/>
              <c:yMode val="edge"/>
              <c:x val="0.4672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54480232"/>
        <c:crosses val="autoZero"/>
        <c:crossBetween val="midCat"/>
        <c:dispUnits/>
      </c:valAx>
      <c:valAx>
        <c:axId val="54480232"/>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6053359"/>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297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'82-125'!$A$1223:$A$1243</c:f>
              <c:numCache/>
            </c:numRef>
          </c:xVal>
          <c:yVal>
            <c:numRef>
              <c:f>'82-125'!$B$1223:$B$1243</c:f>
              <c:numCache/>
            </c:numRef>
          </c:yVal>
          <c:smooth val="0"/>
        </c:ser>
        <c:axId val="20560041"/>
        <c:axId val="50822642"/>
      </c:scatterChart>
      <c:valAx>
        <c:axId val="20560041"/>
        <c:scaling>
          <c:orientation val="minMax"/>
          <c:max val="0.01"/>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 (x100)</a:t>
                </a:r>
              </a:p>
            </c:rich>
          </c:tx>
          <c:layout>
            <c:manualLayout>
              <c:xMode val="edge"/>
              <c:yMode val="edge"/>
              <c:x val="0.455"/>
              <c:y val="0.888"/>
            </c:manualLayout>
          </c:layout>
          <c:overlay val="0"/>
          <c:spPr>
            <a:noFill/>
            <a:ln w="25400">
              <a:noFill/>
            </a:ln>
          </c:spPr>
        </c:title>
        <c:delete val="0"/>
        <c:numFmt formatCode="0.000" sourceLinked="0"/>
        <c:majorTickMark val="out"/>
        <c:minorTickMark val="none"/>
        <c:tickLblPos val="nextTo"/>
        <c:spPr>
          <a:ln w="3175">
            <a:solidFill>
              <a:srgbClr val="000000"/>
            </a:solidFill>
            <a:prstDash val="solid"/>
          </a:ln>
        </c:spPr>
        <c:crossAx val="50822642"/>
        <c:crosses val="autoZero"/>
        <c:crossBetween val="midCat"/>
        <c:dispUnits/>
      </c:valAx>
      <c:valAx>
        <c:axId val="50822642"/>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20560041"/>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'82-125'!$A$1253:$A$1273</c:f>
              <c:numCache/>
            </c:numRef>
          </c:xVal>
          <c:yVal>
            <c:numRef>
              <c:f>'82-125'!$B$1253:$B$1273</c:f>
              <c:numCache/>
            </c:numRef>
          </c:yVal>
          <c:smooth val="0"/>
        </c:ser>
        <c:axId val="54750595"/>
        <c:axId val="22993308"/>
      </c:scatterChart>
      <c:valAx>
        <c:axId val="54750595"/>
        <c:scaling>
          <c:orientation val="minMax"/>
          <c:max val="1"/>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37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22993308"/>
        <c:crosses val="autoZero"/>
        <c:crossBetween val="midCat"/>
        <c:dispUnits/>
      </c:valAx>
      <c:valAx>
        <c:axId val="22993308"/>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4750595"/>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paperSize="9" orientation="landscape"/>
  </c:printSettings>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54"/>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'82-125'!$A$1283:$A$1303</c:f>
              <c:numCache/>
            </c:numRef>
          </c:xVal>
          <c:yVal>
            <c:numRef>
              <c:f>'82-125'!$B$1283:$B$1303</c:f>
              <c:numCache/>
            </c:numRef>
          </c:yVal>
          <c:smooth val="0"/>
        </c:ser>
        <c:axId val="5613181"/>
        <c:axId val="50518630"/>
      </c:scatterChart>
      <c:valAx>
        <c:axId val="5613181"/>
        <c:scaling>
          <c:orientation val="minMax"/>
          <c:max val="5"/>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 (x100)</a:t>
                </a:r>
              </a:p>
            </c:rich>
          </c:tx>
          <c:layout>
            <c:manualLayout>
              <c:xMode val="edge"/>
              <c:yMode val="edge"/>
              <c:x val="0.4672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50518630"/>
        <c:crosses val="autoZero"/>
        <c:crossBetween val="midCat"/>
        <c:dispUnits/>
      </c:valAx>
      <c:valAx>
        <c:axId val="50518630"/>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613181"/>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39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'82-125'!$A$1313:$A$1333</c:f>
              <c:numCache/>
            </c:numRef>
          </c:xVal>
          <c:yVal>
            <c:numRef>
              <c:f>'82-125'!$B$1313:$B$1333</c:f>
              <c:numCache/>
            </c:numRef>
          </c:yVal>
          <c:smooth val="0"/>
        </c:ser>
        <c:axId val="52014487"/>
        <c:axId val="65477200"/>
      </c:scatterChart>
      <c:valAx>
        <c:axId val="52014487"/>
        <c:scaling>
          <c:orientation val="minMax"/>
          <c:max val="250"/>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12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65477200"/>
        <c:crosses val="autoZero"/>
        <c:crossBetween val="midCat"/>
        <c:dispUnits/>
      </c:valAx>
      <c:valAx>
        <c:axId val="65477200"/>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2014487"/>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39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'82-125'!$A$1343:$A$1363</c:f>
              <c:numCache/>
            </c:numRef>
          </c:xVal>
          <c:yVal>
            <c:numRef>
              <c:f>'82-125'!$B$1343:$B$1363</c:f>
              <c:numCache/>
            </c:numRef>
          </c:yVal>
          <c:smooth val="0"/>
        </c:ser>
        <c:axId val="52423889"/>
        <c:axId val="2052954"/>
      </c:scatterChart>
      <c:valAx>
        <c:axId val="52423889"/>
        <c:scaling>
          <c:orientation val="minMax"/>
          <c:max val="2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mg l</a:t>
                </a:r>
                <a:r>
                  <a:rPr lang="en-US" cap="none" sz="800" b="1" i="0" u="none" baseline="30000">
                    <a:solidFill>
                      <a:srgbClr val="000000"/>
                    </a:solidFill>
                    <a:latin typeface="Arial"/>
                    <a:ea typeface="Arial"/>
                    <a:cs typeface="Arial"/>
                  </a:rPr>
                  <a:t>-1</a:t>
                </a:r>
              </a:p>
            </c:rich>
          </c:tx>
          <c:layout>
            <c:manualLayout>
              <c:xMode val="edge"/>
              <c:yMode val="edge"/>
              <c:x val="0.50125"/>
              <c:y val="0.888"/>
            </c:manualLayout>
          </c:layout>
          <c:overlay val="0"/>
          <c:spPr>
            <a:noFill/>
            <a:ln w="25400">
              <a:noFill/>
            </a:ln>
          </c:spPr>
        </c:title>
        <c:delete val="0"/>
        <c:numFmt formatCode="0" sourceLinked="0"/>
        <c:majorTickMark val="out"/>
        <c:minorTickMark val="none"/>
        <c:tickLblPos val="nextTo"/>
        <c:spPr>
          <a:ln w="3175">
            <a:solidFill>
              <a:srgbClr val="000000"/>
            </a:solidFill>
            <a:prstDash val="solid"/>
          </a:ln>
        </c:spPr>
        <c:crossAx val="2052954"/>
        <c:crosses val="autoZero"/>
        <c:crossBetween val="midCat"/>
        <c:dispUnits/>
      </c:valAx>
      <c:valAx>
        <c:axId val="2052954"/>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2423889"/>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24"/>
          <c:y val="0.06725"/>
          <c:w val="0.84425"/>
          <c:h val="0.708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'82-125'!$A$1373:$A$1397</c:f>
              <c:numCache/>
            </c:numRef>
          </c:xVal>
          <c:yVal>
            <c:numRef>
              <c:f>'82-125'!$B$1373:$B$1397</c:f>
              <c:numCache/>
            </c:numRef>
          </c:yVal>
          <c:smooth val="0"/>
        </c:ser>
        <c:axId val="18476587"/>
        <c:axId val="32071556"/>
      </c:scatterChart>
      <c:valAx>
        <c:axId val="18476587"/>
        <c:scaling>
          <c:orientation val="minMax"/>
          <c:max val="0.5"/>
          <c:min val="0"/>
        </c:scaling>
        <c:axPos val="b"/>
        <c:title>
          <c:tx>
            <c:rich>
              <a:bodyPr vert="horz" rot="0" anchor="ctr"/>
              <a:lstStyle/>
              <a:p>
                <a:pPr algn="ctr">
                  <a:defRPr/>
                </a:pPr>
                <a:r>
                  <a:rPr lang="en-US" cap="none" sz="800" b="1" i="0" u="none" baseline="0">
                    <a:solidFill>
                      <a:srgbClr val="000000"/>
                    </a:solidFill>
                    <a:latin typeface="Arial"/>
                    <a:ea typeface="Arial"/>
                    <a:cs typeface="Arial"/>
                  </a:rPr>
                  <a:t>ICC</a:t>
                </a:r>
              </a:p>
            </c:rich>
          </c:tx>
          <c:layout>
            <c:manualLayout>
              <c:xMode val="edge"/>
              <c:yMode val="edge"/>
              <c:x val="0.51825"/>
              <c:y val="0.888"/>
            </c:manualLayout>
          </c:layout>
          <c:overlay val="0"/>
          <c:spPr>
            <a:noFill/>
            <a:ln w="25400">
              <a:noFill/>
            </a:ln>
          </c:spPr>
        </c:title>
        <c:delete val="0"/>
        <c:numFmt formatCode="0.0" sourceLinked="0"/>
        <c:majorTickMark val="out"/>
        <c:minorTickMark val="none"/>
        <c:tickLblPos val="nextTo"/>
        <c:spPr>
          <a:ln w="3175">
            <a:solidFill>
              <a:srgbClr val="000000"/>
            </a:solidFill>
            <a:prstDash val="solid"/>
          </a:ln>
        </c:spPr>
        <c:crossAx val="32071556"/>
        <c:crosses val="autoZero"/>
        <c:crossBetween val="midCat"/>
        <c:dispUnits/>
      </c:valAx>
      <c:valAx>
        <c:axId val="32071556"/>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9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18476587"/>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3825"/>
          <c:y val="0.0675"/>
          <c:w val="0.83"/>
          <c:h val="0.7162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'82-125'!$A$57:$A$80</c:f>
              <c:numCache/>
            </c:numRef>
          </c:xVal>
          <c:yVal>
            <c:numRef>
              <c:f>'82-125'!$B$57:$B$80</c:f>
              <c:numCache/>
            </c:numRef>
          </c:yVal>
          <c:smooth val="0"/>
        </c:ser>
        <c:axId val="21337331"/>
        <c:axId val="57818252"/>
      </c:scatterChart>
      <c:valAx>
        <c:axId val="21337331"/>
        <c:scaling>
          <c:orientation val="minMax"/>
          <c:max val="6"/>
          <c:min val="0"/>
        </c:scaling>
        <c:axPos val="b"/>
        <c:title>
          <c:tx>
            <c:rich>
              <a:bodyPr vert="horz" rot="0" anchor="ctr"/>
              <a:lstStyle/>
              <a:p>
                <a:pPr algn="ctr">
                  <a:defRPr/>
                </a:pPr>
                <a:r>
                  <a:rPr lang="en-US" cap="none" sz="800" b="1" i="0" u="none" baseline="0">
                    <a:solidFill>
                      <a:srgbClr val="000000"/>
                    </a:solidFill>
                    <a:latin typeface="Arial"/>
                    <a:ea typeface="Arial"/>
                    <a:cs typeface="Arial"/>
                  </a:rPr>
                  <a:t>DBO</a:t>
                </a:r>
                <a:r>
                  <a:rPr lang="en-US" cap="none" sz="800" b="1" i="0" u="none" baseline="-25000">
                    <a:solidFill>
                      <a:srgbClr val="000000"/>
                    </a:solidFill>
                    <a:latin typeface="Arial"/>
                    <a:ea typeface="Arial"/>
                    <a:cs typeface="Arial"/>
                  </a:rPr>
                  <a:t>5</a:t>
                </a:r>
                <a:r>
                  <a:rPr lang="en-US" cap="none" sz="800" b="1" i="0" u="none" baseline="0">
                    <a:solidFill>
                      <a:srgbClr val="000000"/>
                    </a:solidFill>
                    <a:latin typeface="Arial"/>
                    <a:ea typeface="Arial"/>
                    <a:cs typeface="Arial"/>
                  </a:rPr>
                  <a:t> (mg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 de O</a:t>
                </a:r>
                <a:r>
                  <a:rPr lang="en-US" cap="none" sz="800" b="1" i="0" u="none" baseline="-25000">
                    <a:solidFill>
                      <a:srgbClr val="000000"/>
                    </a:solidFill>
                    <a:latin typeface="Arial"/>
                    <a:ea typeface="Arial"/>
                    <a:cs typeface="Arial"/>
                  </a:rPr>
                  <a:t>2</a:t>
                </a:r>
                <a:r>
                  <a:rPr lang="en-US" cap="none" sz="800" b="1" i="0" u="none" baseline="0">
                    <a:solidFill>
                      <a:srgbClr val="000000"/>
                    </a:solidFill>
                    <a:latin typeface="Arial"/>
                    <a:ea typeface="Arial"/>
                    <a:cs typeface="Arial"/>
                  </a:rPr>
                  <a:t>)</a:t>
                </a:r>
              </a:p>
            </c:rich>
          </c:tx>
          <c:layout>
            <c:manualLayout>
              <c:xMode val="edge"/>
              <c:yMode val="edge"/>
              <c:x val="0.432"/>
              <c:y val="0.8875"/>
            </c:manualLayout>
          </c:layout>
          <c:overlay val="0"/>
          <c:spPr>
            <a:noFill/>
            <a:ln w="25400">
              <a:noFill/>
            </a:ln>
          </c:spPr>
        </c:title>
        <c:delete val="0"/>
        <c:numFmt formatCode="0.0" sourceLinked="1"/>
        <c:majorTickMark val="out"/>
        <c:minorTickMark val="none"/>
        <c:tickLblPos val="nextTo"/>
        <c:spPr>
          <a:ln w="3175">
            <a:solidFill>
              <a:srgbClr val="000000"/>
            </a:solidFill>
            <a:prstDash val="solid"/>
          </a:ln>
        </c:spPr>
        <c:crossAx val="57818252"/>
        <c:crosses val="autoZero"/>
        <c:crossBetween val="midCat"/>
        <c:dispUnits/>
      </c:valAx>
      <c:valAx>
        <c:axId val="57818252"/>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45"/>
              <c:y val="0.243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21337331"/>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0225"/>
          <c:y val="0.06775"/>
          <c:w val="0.86375"/>
          <c:h val="0.71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'126-127'!$A$8:$A$31</c:f>
              <c:numCache/>
            </c:numRef>
          </c:xVal>
          <c:yVal>
            <c:numRef>
              <c:f>'126-127'!$B$8:$B$31</c:f>
              <c:numCache/>
            </c:numRef>
          </c:yVal>
          <c:smooth val="0"/>
        </c:ser>
        <c:axId val="20208549"/>
        <c:axId val="47659214"/>
      </c:scatterChart>
      <c:valAx>
        <c:axId val="20208549"/>
        <c:scaling>
          <c:orientation val="minMax"/>
          <c:max val="10"/>
          <c:min val="-12"/>
        </c:scaling>
        <c:axPos val="b"/>
        <c:title>
          <c:tx>
            <c:rich>
              <a:bodyPr vert="horz" rot="0" anchor="ctr"/>
              <a:lstStyle/>
              <a:p>
                <a:pPr algn="ctr">
                  <a:defRPr/>
                </a:pPr>
                <a:r>
                  <a:rPr lang="en-US" cap="none" sz="800" b="1" i="0" u="none" baseline="0">
                    <a:solidFill>
                      <a:srgbClr val="000000"/>
                    </a:solidFill>
                    <a:latin typeface="Arial"/>
                    <a:ea typeface="Arial"/>
                    <a:cs typeface="Arial"/>
                  </a:rPr>
                  <a:t>Índice</a:t>
                </a:r>
              </a:p>
            </c:rich>
          </c:tx>
          <c:layout>
            <c:manualLayout>
              <c:xMode val="edge"/>
              <c:yMode val="edge"/>
              <c:x val="0.491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47659214"/>
        <c:crosses val="autoZero"/>
        <c:crossBetween val="midCat"/>
        <c:dispUnits/>
      </c:valAx>
      <c:valAx>
        <c:axId val="47659214"/>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45"/>
              <c:y val="0.2397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20208549"/>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0225"/>
          <c:y val="0.06775"/>
          <c:w val="0.86375"/>
          <c:h val="0.71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'126-127'!$A$41:$A$66</c:f>
              <c:numCache/>
            </c:numRef>
          </c:xVal>
          <c:yVal>
            <c:numRef>
              <c:f>'126-127'!$B$41:$B$66</c:f>
              <c:numCache/>
            </c:numRef>
          </c:yVal>
          <c:smooth val="0"/>
        </c:ser>
        <c:axId val="26279743"/>
        <c:axId val="35191096"/>
      </c:scatterChart>
      <c:valAx>
        <c:axId val="26279743"/>
        <c:scaling>
          <c:orientation val="minMax"/>
          <c:max val="15"/>
          <c:min val="-12"/>
        </c:scaling>
        <c:axPos val="b"/>
        <c:title>
          <c:tx>
            <c:rich>
              <a:bodyPr vert="horz" rot="0" anchor="ctr"/>
              <a:lstStyle/>
              <a:p>
                <a:pPr algn="ctr">
                  <a:defRPr/>
                </a:pPr>
                <a:r>
                  <a:rPr lang="en-US" cap="none" sz="800" b="1" i="0" u="none" baseline="0">
                    <a:solidFill>
                      <a:srgbClr val="000000"/>
                    </a:solidFill>
                    <a:latin typeface="Arial"/>
                    <a:ea typeface="Arial"/>
                    <a:cs typeface="Arial"/>
                  </a:rPr>
                  <a:t>Índice</a:t>
                </a:r>
              </a:p>
            </c:rich>
          </c:tx>
          <c:layout>
            <c:manualLayout>
              <c:xMode val="edge"/>
              <c:yMode val="edge"/>
              <c:x val="0.4915"/>
              <c:y val="0.887"/>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35191096"/>
        <c:crosses val="autoZero"/>
        <c:crossBetween val="midCat"/>
        <c:dispUnits/>
      </c:valAx>
      <c:valAx>
        <c:axId val="35191096"/>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45"/>
              <c:y val="0.2397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26279743"/>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3825"/>
          <c:y val="0.0675"/>
          <c:w val="0.83"/>
          <c:h val="0.7162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xVal>
            <c:numRef>
              <c:f>'82-125'!$A$90:$A$112</c:f>
              <c:numCache/>
            </c:numRef>
          </c:xVal>
          <c:yVal>
            <c:numRef>
              <c:f>'82-125'!$B$90:$B$112</c:f>
              <c:numCache/>
            </c:numRef>
          </c:yVal>
          <c:smooth val="0"/>
        </c:ser>
        <c:axId val="50602221"/>
        <c:axId val="52766806"/>
      </c:scatterChart>
      <c:valAx>
        <c:axId val="50602221"/>
        <c:scaling>
          <c:orientation val="minMax"/>
          <c:max val="5"/>
          <c:min val="0"/>
        </c:scaling>
        <c:axPos val="b"/>
        <c:title>
          <c:tx>
            <c:rich>
              <a:bodyPr vert="horz" rot="0" anchor="ctr"/>
              <a:lstStyle/>
              <a:p>
                <a:pPr algn="ctr">
                  <a:defRPr/>
                </a:pPr>
                <a:r>
                  <a:rPr lang="en-US" cap="none" sz="800" b="1" i="0" u="none" baseline="0">
                    <a:solidFill>
                      <a:srgbClr val="000000"/>
                    </a:solidFill>
                    <a:latin typeface="Arial"/>
                    <a:ea typeface="Arial"/>
                    <a:cs typeface="Arial"/>
                  </a:rPr>
                  <a:t>O</a:t>
                </a:r>
                <a:r>
                  <a:rPr lang="en-US" cap="none" sz="800" b="1" i="0" u="none" baseline="-25000">
                    <a:solidFill>
                      <a:srgbClr val="000000"/>
                    </a:solidFill>
                    <a:latin typeface="Arial"/>
                    <a:ea typeface="Arial"/>
                    <a:cs typeface="Arial"/>
                  </a:rPr>
                  <a:t>2</a:t>
                </a:r>
                <a:r>
                  <a:rPr lang="en-US" cap="none" sz="800" b="1" i="0" u="none" baseline="0">
                    <a:solidFill>
                      <a:srgbClr val="000000"/>
                    </a:solidFill>
                    <a:latin typeface="Arial"/>
                    <a:ea typeface="Arial"/>
                    <a:cs typeface="Arial"/>
                  </a:rPr>
                  <a:t> (mg l</a:t>
                </a:r>
                <a:r>
                  <a:rPr lang="en-US" cap="none" sz="800" b="1" i="0" u="none" baseline="30000">
                    <a:solidFill>
                      <a:srgbClr val="000000"/>
                    </a:solidFill>
                    <a:latin typeface="Arial"/>
                    <a:ea typeface="Arial"/>
                    <a:cs typeface="Arial"/>
                  </a:rPr>
                  <a:t>-1</a:t>
                </a:r>
                <a:r>
                  <a:rPr lang="en-US" cap="none" sz="800" b="1" i="0" u="none" baseline="0">
                    <a:solidFill>
                      <a:srgbClr val="000000"/>
                    </a:solidFill>
                    <a:latin typeface="Arial"/>
                    <a:ea typeface="Arial"/>
                    <a:cs typeface="Arial"/>
                  </a:rPr>
                  <a:t>)</a:t>
                </a:r>
              </a:p>
            </c:rich>
          </c:tx>
          <c:layout>
            <c:manualLayout>
              <c:xMode val="edge"/>
              <c:yMode val="edge"/>
              <c:x val="0.483"/>
              <c:y val="0.8875"/>
            </c:manualLayout>
          </c:layout>
          <c:overlay val="0"/>
          <c:spPr>
            <a:noFill/>
            <a:ln w="25400">
              <a:noFill/>
            </a:ln>
          </c:spPr>
        </c:title>
        <c:delete val="0"/>
        <c:numFmt formatCode="0.0" sourceLinked="1"/>
        <c:majorTickMark val="out"/>
        <c:minorTickMark val="none"/>
        <c:tickLblPos val="nextTo"/>
        <c:spPr>
          <a:ln w="3175">
            <a:solidFill>
              <a:srgbClr val="000000"/>
            </a:solidFill>
            <a:prstDash val="solid"/>
          </a:ln>
        </c:spPr>
        <c:crossAx val="52766806"/>
        <c:crosses val="autoZero"/>
        <c:crossBetween val="midCat"/>
        <c:dispUnits/>
      </c:valAx>
      <c:valAx>
        <c:axId val="52766806"/>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45"/>
              <c:y val="0.243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0602221"/>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141"/>
          <c:y val="0.06825"/>
          <c:w val="0.8225"/>
          <c:h val="0.67725"/>
        </c:manualLayout>
      </c:layout>
      <c:scatterChart>
        <c:scatterStyle val="lineMarker"/>
        <c:varyColors val="0"/>
        <c:ser>
          <c:idx val="0"/>
          <c:order val="0"/>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Ref>
              <c:f>'82-125'!$A$122:$A$150</c:f>
              <c:numCache/>
            </c:numRef>
          </c:xVal>
          <c:yVal>
            <c:numRef>
              <c:f>'82-125'!$B$122:$B$150</c:f>
              <c:numCache/>
            </c:numRef>
          </c:yVal>
          <c:smooth val="0"/>
        </c:ser>
        <c:axId val="5139207"/>
        <c:axId val="46252864"/>
      </c:scatterChart>
      <c:valAx>
        <c:axId val="5139207"/>
        <c:scaling>
          <c:orientation val="minMax"/>
          <c:max val="140"/>
          <c:min val="0"/>
        </c:scaling>
        <c:axPos val="b"/>
        <c:title>
          <c:tx>
            <c:rich>
              <a:bodyPr vert="horz" rot="0" anchor="ctr"/>
              <a:lstStyle/>
              <a:p>
                <a:pPr algn="ctr">
                  <a:defRPr/>
                </a:pPr>
                <a:r>
                  <a:rPr lang="en-US" cap="none" sz="800" b="1" i="0" u="none" baseline="0">
                    <a:solidFill>
                      <a:srgbClr val="000000"/>
                    </a:solidFill>
                    <a:latin typeface="Arial"/>
                    <a:ea typeface="Arial"/>
                    <a:cs typeface="Arial"/>
                  </a:rPr>
                  <a:t>ICT</a:t>
                </a:r>
              </a:p>
            </c:rich>
          </c:tx>
          <c:layout>
            <c:manualLayout>
              <c:xMode val="edge"/>
              <c:yMode val="edge"/>
              <c:x val="0.523"/>
              <c:y val="0.88625"/>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46252864"/>
        <c:crosses val="autoZero"/>
        <c:crossBetween val="midCat"/>
        <c:dispUnits/>
      </c:valAx>
      <c:valAx>
        <c:axId val="46252864"/>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Calidad ambiental</a:t>
                </a:r>
              </a:p>
            </c:rich>
          </c:tx>
          <c:layout>
            <c:manualLayout>
              <c:xMode val="edge"/>
              <c:yMode val="edge"/>
              <c:x val="0.01225"/>
              <c:y val="0.17725"/>
            </c:manualLayout>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5139207"/>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80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scatterChart>
        <c:scatterStyle val="lineMarker"/>
        <c:varyColors val="0"/>
        <c:ser>
          <c:idx val="0"/>
          <c:order val="0"/>
          <c:tx>
            <c:v>Ind4 vs CA</c:v>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Lit>
              <c:ptCount val="1"/>
              <c:pt idx="0">
                <c:v>1</c:v>
              </c:pt>
            </c:numLit>
          </c:xVal>
          <c:yVal>
            <c:numLit>
              <c:ptCount val="1"/>
              <c:pt idx="0">
                <c:v>1</c:v>
              </c:pt>
            </c:numLit>
          </c:yVal>
          <c:smooth val="0"/>
        </c:ser>
        <c:axId val="13622593"/>
        <c:axId val="55494474"/>
      </c:scatterChart>
      <c:valAx>
        <c:axId val="13622593"/>
        <c:scaling>
          <c:orientation val="minMax"/>
          <c:max val="34"/>
          <c:min val="0"/>
        </c:scaling>
        <c:axPos val="b"/>
        <c:title>
          <c:tx>
            <c:rich>
              <a:bodyPr vert="horz" rot="0" anchor="ctr"/>
              <a:lstStyle/>
              <a:p>
                <a:pPr algn="ctr">
                  <a:defRPr/>
                </a:pPr>
                <a:r>
                  <a:rPr lang="en-US" cap="none" sz="125" b="1" i="0" u="none" baseline="0">
                    <a:solidFill>
                      <a:srgbClr val="000000"/>
                    </a:solidFill>
                    <a:latin typeface="Arial"/>
                    <a:ea typeface="Arial"/>
                    <a:cs typeface="Arial"/>
                  </a:rPr>
                  <a:t>CO (mg/m</a:t>
                </a:r>
                <a:r>
                  <a:rPr lang="en-US" cap="none" sz="125" b="1" i="0" u="none" baseline="30000">
                    <a:solidFill>
                      <a:srgbClr val="000000"/>
                    </a:solidFill>
                    <a:latin typeface="Arial"/>
                    <a:ea typeface="Arial"/>
                    <a:cs typeface="Arial"/>
                  </a:rPr>
                  <a:t>3</a:t>
                </a:r>
                <a:r>
                  <a:rPr lang="en-US" cap="none" sz="125" b="1" i="0" u="none" baseline="0">
                    <a:solidFill>
                      <a:srgbClr val="000000"/>
                    </a:solidFill>
                    <a:latin typeface="Arial"/>
                    <a:ea typeface="Arial"/>
                    <a:cs typeface="Arial"/>
                  </a:rPr>
                  <a:t>)</a:t>
                </a:r>
              </a:p>
            </c:rich>
          </c:tx>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55494474"/>
        <c:crosses val="autoZero"/>
        <c:crossBetween val="midCat"/>
        <c:dispUnits/>
      </c:valAx>
      <c:valAx>
        <c:axId val="55494474"/>
        <c:scaling>
          <c:orientation val="minMax"/>
          <c:max val="1"/>
          <c:min val="0"/>
        </c:scaling>
        <c:axPos val="l"/>
        <c:title>
          <c:tx>
            <c:rich>
              <a:bodyPr vert="horz" rot="-5400000" anchor="ctr"/>
              <a:lstStyle/>
              <a:p>
                <a:pPr algn="ctr">
                  <a:defRPr/>
                </a:pPr>
                <a:r>
                  <a:rPr lang="en-US" cap="none" sz="125" b="1" i="0" u="none" baseline="0">
                    <a:solidFill>
                      <a:srgbClr val="000000"/>
                    </a:solidFill>
                    <a:latin typeface="Arial"/>
                    <a:ea typeface="Arial"/>
                    <a:cs typeface="Arial"/>
                  </a:rPr>
                  <a:t>Calidad ambiental</a:t>
                </a:r>
              </a:p>
            </c:rich>
          </c:tx>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13622593"/>
        <c:crosses val="autoZero"/>
        <c:crossBetween val="midCat"/>
        <c:dispUnits/>
        <c:majorUnit val="0.2"/>
        <c:minorUnit val="0.04"/>
      </c:valAx>
      <c:spPr>
        <a:noFill/>
        <a:ln w="25400">
          <a:noFill/>
        </a:ln>
      </c:spPr>
    </c:plotArea>
    <c:plotVisOnly val="1"/>
    <c:dispBlanksAs val="gap"/>
    <c:showDLblsOverMax val="0"/>
  </c:chart>
  <c:spPr>
    <a:solidFill>
      <a:srgbClr val="FFFFFF"/>
    </a:solidFill>
    <a:ln w="25400">
      <a:solidFill>
        <a:srgbClr val="000000"/>
      </a:solidFill>
      <a:prstDash val="solid"/>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scatterChart>
        <c:scatterStyle val="lineMarker"/>
        <c:varyColors val="0"/>
        <c:ser>
          <c:idx val="0"/>
          <c:order val="0"/>
          <c:tx>
            <c:v>Ind5 vs CA</c:v>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80"/>
              </a:solidFill>
              <a:ln>
                <a:solidFill>
                  <a:srgbClr val="000080"/>
                </a:solidFill>
                <a:prstDash val="solid"/>
              </a:ln>
            </c:spPr>
          </c:marker>
          <c:xVal>
            <c:numLit>
              <c:ptCount val="1"/>
              <c:pt idx="0">
                <c:v>1</c:v>
              </c:pt>
            </c:numLit>
          </c:xVal>
          <c:yVal>
            <c:numLit>
              <c:ptCount val="1"/>
              <c:pt idx="0">
                <c:v>1</c:v>
              </c:pt>
            </c:numLit>
          </c:yVal>
          <c:smooth val="0"/>
        </c:ser>
        <c:axId val="29688219"/>
        <c:axId val="65867380"/>
      </c:scatterChart>
      <c:valAx>
        <c:axId val="29688219"/>
        <c:scaling>
          <c:orientation val="minMax"/>
          <c:max val="34"/>
          <c:min val="0"/>
        </c:scaling>
        <c:axPos val="b"/>
        <c:title>
          <c:tx>
            <c:rich>
              <a:bodyPr vert="horz" rot="0" anchor="ctr"/>
              <a:lstStyle/>
              <a:p>
                <a:pPr algn="ctr">
                  <a:defRPr/>
                </a:pPr>
                <a:r>
                  <a:rPr lang="en-US" cap="none" sz="125" b="1" i="0" u="none" baseline="0">
                    <a:solidFill>
                      <a:srgbClr val="000000"/>
                    </a:solidFill>
                    <a:latin typeface="Arial"/>
                    <a:ea typeface="Arial"/>
                    <a:cs typeface="Arial"/>
                  </a:rPr>
                  <a:t>CO (mg m</a:t>
                </a:r>
                <a:r>
                  <a:rPr lang="en-US" cap="none" sz="125" b="1" i="0" u="none" baseline="30000">
                    <a:solidFill>
                      <a:srgbClr val="000000"/>
                    </a:solidFill>
                    <a:latin typeface="Arial"/>
                    <a:ea typeface="Arial"/>
                    <a:cs typeface="Arial"/>
                  </a:rPr>
                  <a:t>-3</a:t>
                </a:r>
                <a:r>
                  <a:rPr lang="en-US" cap="none" sz="125" b="1" i="0" u="none" baseline="0">
                    <a:solidFill>
                      <a:srgbClr val="000000"/>
                    </a:solidFill>
                    <a:latin typeface="Arial"/>
                    <a:ea typeface="Arial"/>
                    <a:cs typeface="Arial"/>
                  </a:rPr>
                  <a:t>)</a:t>
                </a:r>
              </a:p>
            </c:rich>
          </c:tx>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65867380"/>
        <c:crosses val="autoZero"/>
        <c:crossBetween val="midCat"/>
        <c:dispUnits/>
      </c:valAx>
      <c:valAx>
        <c:axId val="65867380"/>
        <c:scaling>
          <c:orientation val="minMax"/>
          <c:max val="1"/>
          <c:min val="0"/>
        </c:scaling>
        <c:axPos val="l"/>
        <c:title>
          <c:tx>
            <c:rich>
              <a:bodyPr vert="horz" rot="-5400000" anchor="ctr"/>
              <a:lstStyle/>
              <a:p>
                <a:pPr algn="ctr">
                  <a:defRPr/>
                </a:pPr>
                <a:r>
                  <a:rPr lang="en-US" cap="none" sz="125" b="1" i="0" u="none" baseline="0">
                    <a:solidFill>
                      <a:srgbClr val="000000"/>
                    </a:solidFill>
                    <a:latin typeface="Arial"/>
                    <a:ea typeface="Arial"/>
                    <a:cs typeface="Arial"/>
                  </a:rPr>
                  <a:t>Calidad ambiental</a:t>
                </a:r>
              </a:p>
            </c:rich>
          </c:tx>
          <c:layout/>
          <c:overlay val="0"/>
          <c:spPr>
            <a:noFill/>
            <a:ln w="25400">
              <a:noFill/>
            </a:ln>
          </c:spPr>
        </c:title>
        <c:majorGridlines>
          <c:spPr>
            <a:ln w="3175">
              <a:solidFill>
                <a:srgbClr val="000000"/>
              </a:solidFill>
              <a:prstDash val="solid"/>
            </a:ln>
          </c:spPr>
        </c:majorGridlines>
        <c:delete val="0"/>
        <c:numFmt formatCode="0.0" sourceLinked="0"/>
        <c:majorTickMark val="out"/>
        <c:minorTickMark val="none"/>
        <c:tickLblPos val="nextTo"/>
        <c:spPr>
          <a:ln w="3175">
            <a:solidFill>
              <a:srgbClr val="000000"/>
            </a:solidFill>
            <a:prstDash val="solid"/>
          </a:ln>
        </c:spPr>
        <c:crossAx val="29688219"/>
        <c:crosses val="autoZero"/>
        <c:crossBetween val="midCat"/>
        <c:dispUnits/>
        <c:majorUnit val="0.2"/>
        <c:minorUnit val="0.04"/>
      </c:valAx>
      <c:spPr>
        <a:noFill/>
        <a:ln w="25400">
          <a:noFill/>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25" b="0" i="0" u="none" baseline="0">
          <a:solidFill>
            <a:srgbClr val="000000"/>
          </a:solidFill>
          <a:latin typeface="Arial"/>
          <a:ea typeface="Arial"/>
          <a:cs typeface="Arial"/>
        </a:defRPr>
      </a:pPr>
    </a:p>
  </c:txPr>
  <c:lang xmlns:c="http://schemas.openxmlformats.org/drawingml/2006/chart" val="es-ES"/>
  <c:printSettings xmlns:c="http://schemas.openxmlformats.org/drawingml/2006/chart">
    <c:headerFooter alignWithMargins="0"/>
    <c:pageMargins b="1" l="0.75" r="0.75" t="1" header="0" footer="0"/>
    <c:pageSetup/>
  </c:printSettings>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9.emf" /><Relationship Id="rId3" Type="http://schemas.openxmlformats.org/officeDocument/2006/relationships/chart" Target="/xl/charts/chart2.xml" /><Relationship Id="rId4" Type="http://schemas.openxmlformats.org/officeDocument/2006/relationships/image" Target="../media/image10.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7.emf" /><Relationship Id="rId3" Type="http://schemas.openxmlformats.org/officeDocument/2006/relationships/image" Target="../media/image8.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chart" Target="/xl/charts/chart5.xml" /><Relationship Id="rId5" Type="http://schemas.openxmlformats.org/officeDocument/2006/relationships/image" Target="../media/image3.emf"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image" Target="../media/image4.emf" /><Relationship Id="rId12" Type="http://schemas.openxmlformats.org/officeDocument/2006/relationships/image" Target="../media/image5.emf" /><Relationship Id="rId13" Type="http://schemas.openxmlformats.org/officeDocument/2006/relationships/chart" Target="/xl/charts/chart11.xml" /><Relationship Id="rId14" Type="http://schemas.openxmlformats.org/officeDocument/2006/relationships/chart" Target="/xl/charts/chart12.xml" /><Relationship Id="rId15" Type="http://schemas.openxmlformats.org/officeDocument/2006/relationships/chart" Target="/xl/charts/chart13.xml" /><Relationship Id="rId16" Type="http://schemas.openxmlformats.org/officeDocument/2006/relationships/chart" Target="/xl/charts/chart14.xml" /><Relationship Id="rId17" Type="http://schemas.openxmlformats.org/officeDocument/2006/relationships/chart" Target="/xl/charts/chart15.xml" /><Relationship Id="rId18" Type="http://schemas.openxmlformats.org/officeDocument/2006/relationships/chart" Target="/xl/charts/chart16.xml" /><Relationship Id="rId19" Type="http://schemas.openxmlformats.org/officeDocument/2006/relationships/chart" Target="/xl/charts/chart17.xml" /><Relationship Id="rId20" Type="http://schemas.openxmlformats.org/officeDocument/2006/relationships/chart" Target="/xl/charts/chart18.xml" /><Relationship Id="rId21" Type="http://schemas.openxmlformats.org/officeDocument/2006/relationships/chart" Target="/xl/charts/chart19.xml" /><Relationship Id="rId22" Type="http://schemas.openxmlformats.org/officeDocument/2006/relationships/chart" Target="/xl/charts/chart20.xml" /><Relationship Id="rId23" Type="http://schemas.openxmlformats.org/officeDocument/2006/relationships/chart" Target="/xl/charts/chart21.xml" /><Relationship Id="rId24" Type="http://schemas.openxmlformats.org/officeDocument/2006/relationships/chart" Target="/xl/charts/chart22.xml" /><Relationship Id="rId25" Type="http://schemas.openxmlformats.org/officeDocument/2006/relationships/chart" Target="/xl/charts/chart23.xml" /><Relationship Id="rId26" Type="http://schemas.openxmlformats.org/officeDocument/2006/relationships/chart" Target="/xl/charts/chart24.xml" /><Relationship Id="rId27" Type="http://schemas.openxmlformats.org/officeDocument/2006/relationships/chart" Target="/xl/charts/chart25.xml" /><Relationship Id="rId28" Type="http://schemas.openxmlformats.org/officeDocument/2006/relationships/chart" Target="/xl/charts/chart26.xml" /><Relationship Id="rId29" Type="http://schemas.openxmlformats.org/officeDocument/2006/relationships/chart" Target="/xl/charts/chart27.xml" /><Relationship Id="rId30" Type="http://schemas.openxmlformats.org/officeDocument/2006/relationships/chart" Target="/xl/charts/chart28.xml" /><Relationship Id="rId31" Type="http://schemas.openxmlformats.org/officeDocument/2006/relationships/chart" Target="/xl/charts/chart29.xml" /><Relationship Id="rId32" Type="http://schemas.openxmlformats.org/officeDocument/2006/relationships/chart" Target="/xl/charts/chart30.xml" /><Relationship Id="rId33" Type="http://schemas.openxmlformats.org/officeDocument/2006/relationships/chart" Target="/xl/charts/chart31.xml" /><Relationship Id="rId34" Type="http://schemas.openxmlformats.org/officeDocument/2006/relationships/chart" Target="/xl/charts/chart32.xml" /><Relationship Id="rId35" Type="http://schemas.openxmlformats.org/officeDocument/2006/relationships/chart" Target="/xl/charts/chart33.xml" /><Relationship Id="rId36" Type="http://schemas.openxmlformats.org/officeDocument/2006/relationships/chart" Target="/xl/charts/chart34.xml" /><Relationship Id="rId37" Type="http://schemas.openxmlformats.org/officeDocument/2006/relationships/chart" Target="/xl/charts/chart35.xml" /><Relationship Id="rId38" Type="http://schemas.openxmlformats.org/officeDocument/2006/relationships/chart" Target="/xl/charts/chart36.xml" /><Relationship Id="rId39" Type="http://schemas.openxmlformats.org/officeDocument/2006/relationships/chart" Target="/xl/charts/chart37.xml" /><Relationship Id="rId40" Type="http://schemas.openxmlformats.org/officeDocument/2006/relationships/chart" Target="/xl/charts/chart38.xml" /><Relationship Id="rId41" Type="http://schemas.openxmlformats.org/officeDocument/2006/relationships/chart" Target="/xl/charts/chart39.xml" /><Relationship Id="rId42" Type="http://schemas.openxmlformats.org/officeDocument/2006/relationships/chart" Target="/xl/charts/chart40.xml" /><Relationship Id="rId43" Type="http://schemas.openxmlformats.org/officeDocument/2006/relationships/chart" Target="/xl/charts/chart41.xml" /><Relationship Id="rId44" Type="http://schemas.openxmlformats.org/officeDocument/2006/relationships/chart" Target="/xl/charts/chart42.xml" /><Relationship Id="rId45" Type="http://schemas.openxmlformats.org/officeDocument/2006/relationships/chart" Target="/xl/charts/chart43.xml" /><Relationship Id="rId46" Type="http://schemas.openxmlformats.org/officeDocument/2006/relationships/chart" Target="/xl/charts/chart44.xml" /><Relationship Id="rId47" Type="http://schemas.openxmlformats.org/officeDocument/2006/relationships/chart" Target="/xl/charts/chart45.xml" /><Relationship Id="rId48" Type="http://schemas.openxmlformats.org/officeDocument/2006/relationships/chart" Target="/xl/charts/chart46.xml" /><Relationship Id="rId49" Type="http://schemas.openxmlformats.org/officeDocument/2006/relationships/chart" Target="/xl/charts/chart47.xml" /><Relationship Id="rId50" Type="http://schemas.openxmlformats.org/officeDocument/2006/relationships/chart" Target="/xl/charts/chart48.xml" /><Relationship Id="rId51" Type="http://schemas.openxmlformats.org/officeDocument/2006/relationships/chart" Target="/xl/charts/chart49.xml" /><Relationship Id="rId52"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50.xml" /><Relationship Id="rId2" Type="http://schemas.openxmlformats.org/officeDocument/2006/relationships/chart" Target="/xl/charts/chart5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152400</xdr:rowOff>
    </xdr:from>
    <xdr:ext cx="3914775" cy="1143000"/>
    <xdr:sp macro="" fLocksText="0" textlink="">
      <xdr:nvSpPr>
        <xdr:cNvPr id="1025" name="Text Box 1"/>
        <xdr:cNvSpPr txBox="1">
          <a:spLocks noChangeArrowheads="1"/>
        </xdr:cNvSpPr>
      </xdr:nvSpPr>
      <xdr:spPr bwMode="auto">
        <a:xfrm>
          <a:off x="3810000" y="4762500"/>
          <a:ext cx="3914775" cy="11430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1.1.4.1. CANTIDAD DE AGUA DISPONIBLE</a:t>
          </a:r>
          <a:endParaRPr lang="es-ES" sz="800" b="0" i="0" u="sng" strike="noStrike" baseline="0">
            <a:solidFill>
              <a:srgbClr val="000000"/>
            </a:solidFill>
            <a:latin typeface="Arial"/>
            <a:cs typeface="Arial"/>
          </a:endParaRPr>
        </a:p>
        <a:p>
          <a:pPr algn="l" rtl="0">
            <a:defRPr sz="1000"/>
          </a:pPr>
          <a:endParaRPr lang="es-ES" sz="800" b="0"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xdr:txBody>
    </xdr:sp>
    <xdr:clientData/>
  </xdr:oneCellAnchor>
  <xdr:twoCellAnchor>
    <xdr:from>
      <xdr:col>2</xdr:col>
      <xdr:colOff>0</xdr:colOff>
      <xdr:row>7</xdr:row>
      <xdr:rowOff>0</xdr:rowOff>
    </xdr:from>
    <xdr:to>
      <xdr:col>5</xdr:col>
      <xdr:colOff>0</xdr:colOff>
      <xdr:row>20</xdr:row>
      <xdr:rowOff>0</xdr:rowOff>
    </xdr:to>
    <xdr:graphicFrame macro="">
      <xdr:nvGraphicFramePr>
        <xdr:cNvPr id="1026" name="Chart 2"/>
        <xdr:cNvGraphicFramePr/>
      </xdr:nvGraphicFramePr>
      <xdr:xfrm>
        <a:off x="3810000" y="2667000"/>
        <a:ext cx="3914775" cy="210502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66675</xdr:colOff>
      <xdr:row>2</xdr:row>
      <xdr:rowOff>28575</xdr:rowOff>
    </xdr:from>
    <xdr:to>
      <xdr:col>1</xdr:col>
      <xdr:colOff>2286000</xdr:colOff>
      <xdr:row>2</xdr:row>
      <xdr:rowOff>361950</xdr:rowOff>
    </xdr:to>
    <xdr:pic>
      <xdr:nvPicPr>
        <xdr:cNvPr id="1027" name="Picture 3"/>
        <xdr:cNvPicPr preferRelativeResize="1">
          <a:picLocks noChangeAspect="1"/>
        </xdr:cNvPicPr>
      </xdr:nvPicPr>
      <xdr:blipFill>
        <a:blip r:embed="rId2"/>
        <a:stretch>
          <a:fillRect/>
        </a:stretch>
      </xdr:blipFill>
      <xdr:spPr bwMode="auto">
        <a:xfrm>
          <a:off x="1543050" y="790575"/>
          <a:ext cx="2219325" cy="333375"/>
        </a:xfrm>
        <a:prstGeom prst="rect">
          <a:avLst/>
        </a:prstGeom>
        <a:noFill/>
        <a:ln>
          <a:noFill/>
        </a:ln>
      </xdr:spPr>
    </xdr:pic>
    <xdr:clientData/>
  </xdr:twoCellAnchor>
  <xdr:oneCellAnchor>
    <xdr:from>
      <xdr:col>2</xdr:col>
      <xdr:colOff>0</xdr:colOff>
      <xdr:row>48</xdr:row>
      <xdr:rowOff>152400</xdr:rowOff>
    </xdr:from>
    <xdr:ext cx="3914775" cy="1143000"/>
    <xdr:sp macro="" fLocksText="0" textlink="">
      <xdr:nvSpPr>
        <xdr:cNvPr id="1028" name="Text Box 4"/>
        <xdr:cNvSpPr txBox="1">
          <a:spLocks noChangeArrowheads="1"/>
        </xdr:cNvSpPr>
      </xdr:nvSpPr>
      <xdr:spPr bwMode="auto">
        <a:xfrm>
          <a:off x="3810000" y="10991850"/>
          <a:ext cx="3914775" cy="11430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1.1.4.1. CANTIDAD DE AGUA DISPONIBLE</a:t>
          </a:r>
          <a:endParaRPr lang="es-ES" sz="800" b="0" i="0" u="sng" strike="noStrike" baseline="0">
            <a:solidFill>
              <a:srgbClr val="000000"/>
            </a:solidFill>
            <a:latin typeface="Arial"/>
            <a:cs typeface="Arial"/>
          </a:endParaRPr>
        </a:p>
        <a:p>
          <a:pPr algn="l" rtl="0">
            <a:defRPr sz="1000"/>
          </a:pPr>
          <a:endParaRPr lang="es-ES" sz="800" b="0"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xdr:txBody>
    </xdr:sp>
    <xdr:clientData/>
  </xdr:oneCellAnchor>
  <xdr:twoCellAnchor>
    <xdr:from>
      <xdr:col>2</xdr:col>
      <xdr:colOff>0</xdr:colOff>
      <xdr:row>36</xdr:row>
      <xdr:rowOff>0</xdr:rowOff>
    </xdr:from>
    <xdr:to>
      <xdr:col>5</xdr:col>
      <xdr:colOff>0</xdr:colOff>
      <xdr:row>49</xdr:row>
      <xdr:rowOff>0</xdr:rowOff>
    </xdr:to>
    <xdr:graphicFrame macro="">
      <xdr:nvGraphicFramePr>
        <xdr:cNvPr id="1029" name="Chart 5"/>
        <xdr:cNvGraphicFramePr/>
      </xdr:nvGraphicFramePr>
      <xdr:xfrm>
        <a:off x="3810000" y="8896350"/>
        <a:ext cx="3914775" cy="2105025"/>
      </xdr:xfrm>
      <a:graphic>
        <a:graphicData uri="http://schemas.openxmlformats.org/drawingml/2006/chart">
          <c:chart xmlns:c="http://schemas.openxmlformats.org/drawingml/2006/chart" r:id="rId3"/>
        </a:graphicData>
      </a:graphic>
    </xdr:graphicFrame>
    <xdr:clientData/>
  </xdr:twoCellAnchor>
  <xdr:twoCellAnchor editAs="oneCell">
    <xdr:from>
      <xdr:col>1</xdr:col>
      <xdr:colOff>0</xdr:colOff>
      <xdr:row>31</xdr:row>
      <xdr:rowOff>0</xdr:rowOff>
    </xdr:from>
    <xdr:to>
      <xdr:col>1</xdr:col>
      <xdr:colOff>2295525</xdr:colOff>
      <xdr:row>31</xdr:row>
      <xdr:rowOff>342900</xdr:rowOff>
    </xdr:to>
    <xdr:pic>
      <xdr:nvPicPr>
        <xdr:cNvPr id="1031" name="Picture 7"/>
        <xdr:cNvPicPr preferRelativeResize="1">
          <a:picLocks noChangeAspect="1"/>
        </xdr:cNvPicPr>
      </xdr:nvPicPr>
      <xdr:blipFill>
        <a:blip r:embed="rId4"/>
        <a:stretch>
          <a:fillRect/>
        </a:stretch>
      </xdr:blipFill>
      <xdr:spPr bwMode="auto">
        <a:xfrm>
          <a:off x="1476375" y="6991350"/>
          <a:ext cx="2295525" cy="3429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19</xdr:row>
      <xdr:rowOff>152400</xdr:rowOff>
    </xdr:from>
    <xdr:to>
      <xdr:col>5</xdr:col>
      <xdr:colOff>0</xdr:colOff>
      <xdr:row>36</xdr:row>
      <xdr:rowOff>0</xdr:rowOff>
    </xdr:to>
    <xdr:sp macro="" fLocksText="0" textlink="">
      <xdr:nvSpPr>
        <xdr:cNvPr id="2049" name="Text Box 1"/>
        <xdr:cNvSpPr txBox="1">
          <a:spLocks noChangeArrowheads="1"/>
        </xdr:cNvSpPr>
      </xdr:nvSpPr>
      <xdr:spPr bwMode="auto">
        <a:xfrm>
          <a:off x="4095750" y="4762500"/>
          <a:ext cx="3914775" cy="2600325"/>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1.1.4.2 RÉGIMEN HÍDRICO.</a:t>
          </a:r>
          <a:r>
            <a:rPr lang="es-ES" sz="800" b="0" i="0" u="none" strike="noStrike" baseline="0">
              <a:solidFill>
                <a:srgbClr val="000000"/>
              </a:solidFill>
              <a:latin typeface="Arial"/>
              <a:cs typeface="Arial"/>
            </a:rPr>
            <a:t> Variación en el tiempo del agua en los cauces.</a:t>
          </a:r>
        </a:p>
        <a:p>
          <a:pPr algn="l" rtl="0">
            <a:defRPr sz="1000"/>
          </a:pPr>
          <a:endParaRPr lang="es-ES" sz="800" b="0" i="0" u="sng"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En caso de que el impacto sea negativo, Ind (sin) = 0 y la fórmula del índice es:</a:t>
          </a:r>
        </a:p>
        <a:p>
          <a:pPr algn="l" rtl="0">
            <a:defRPr sz="1000"/>
          </a:pPr>
          <a:r>
            <a:rPr lang="es-ES" sz="800" b="0" i="0" u="none" strike="noStrike" baseline="0">
              <a:solidFill>
                <a:srgbClr val="000000"/>
              </a:solidFill>
              <a:latin typeface="Arial"/>
              <a:cs typeface="Arial"/>
            </a:rPr>
            <a:t> </a:t>
          </a:r>
        </a:p>
        <a:p>
          <a:pPr algn="l" rtl="0">
            <a:defRPr sz="1000"/>
          </a:pPr>
          <a:r>
            <a:rPr lang="es-ES" sz="800" b="0" i="0" u="none" strike="noStrike" baseline="0">
              <a:solidFill>
                <a:srgbClr val="000000"/>
              </a:solidFill>
              <a:latin typeface="Arial"/>
              <a:cs typeface="Arial"/>
            </a:rPr>
            <a:t>I =                                                                                           </a:t>
          </a: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En caso de que el impacto sea positivo, Ind (sin) = 100 y la fórmula del índice es:</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I =                                                                                                         </a:t>
          </a: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xdr:txBody>
    </xdr:sp>
    <xdr:clientData/>
  </xdr:twoCellAnchor>
  <xdr:twoCellAnchor>
    <xdr:from>
      <xdr:col>2</xdr:col>
      <xdr:colOff>0</xdr:colOff>
      <xdr:row>7</xdr:row>
      <xdr:rowOff>0</xdr:rowOff>
    </xdr:from>
    <xdr:to>
      <xdr:col>5</xdr:col>
      <xdr:colOff>0</xdr:colOff>
      <xdr:row>20</xdr:row>
      <xdr:rowOff>0</xdr:rowOff>
    </xdr:to>
    <xdr:graphicFrame macro="">
      <xdr:nvGraphicFramePr>
        <xdr:cNvPr id="2050" name="Chart 2"/>
        <xdr:cNvGraphicFramePr/>
      </xdr:nvGraphicFramePr>
      <xdr:xfrm>
        <a:off x="4095750" y="2667000"/>
        <a:ext cx="3914775" cy="2105025"/>
      </xdr:xfrm>
      <a:graphic>
        <a:graphicData uri="http://schemas.openxmlformats.org/drawingml/2006/chart">
          <c:chart xmlns:c="http://schemas.openxmlformats.org/drawingml/2006/chart" r:id="rId1"/>
        </a:graphicData>
      </a:graphic>
    </xdr:graphicFrame>
    <xdr:clientData/>
  </xdr:twoCellAnchor>
  <xdr:twoCellAnchor>
    <xdr:from>
      <xdr:col>2</xdr:col>
      <xdr:colOff>152400</xdr:colOff>
      <xdr:row>28</xdr:row>
      <xdr:rowOff>0</xdr:rowOff>
    </xdr:from>
    <xdr:to>
      <xdr:col>4</xdr:col>
      <xdr:colOff>190500</xdr:colOff>
      <xdr:row>30</xdr:row>
      <xdr:rowOff>114300</xdr:rowOff>
    </xdr:to>
    <xdr:pic>
      <xdr:nvPicPr>
        <xdr:cNvPr id="2053" name="Picture 5"/>
        <xdr:cNvPicPr preferRelativeResize="1">
          <a:picLocks noChangeAspect="1"/>
        </xdr:cNvPicPr>
      </xdr:nvPicPr>
      <xdr:blipFill>
        <a:blip r:embed="rId2"/>
        <a:stretch>
          <a:fillRect/>
        </a:stretch>
      </xdr:blipFill>
      <xdr:spPr bwMode="auto">
        <a:xfrm>
          <a:off x="4248150" y="6067425"/>
          <a:ext cx="2647950" cy="438150"/>
        </a:xfrm>
        <a:prstGeom prst="rect">
          <a:avLst/>
        </a:prstGeom>
        <a:noFill/>
        <a:ln>
          <a:noFill/>
        </a:ln>
      </xdr:spPr>
    </xdr:pic>
    <xdr:clientData/>
  </xdr:twoCellAnchor>
  <xdr:twoCellAnchor>
    <xdr:from>
      <xdr:col>2</xdr:col>
      <xdr:colOff>152400</xdr:colOff>
      <xdr:row>32</xdr:row>
      <xdr:rowOff>57150</xdr:rowOff>
    </xdr:from>
    <xdr:to>
      <xdr:col>4</xdr:col>
      <xdr:colOff>609600</xdr:colOff>
      <xdr:row>35</xdr:row>
      <xdr:rowOff>19050</xdr:rowOff>
    </xdr:to>
    <xdr:pic>
      <xdr:nvPicPr>
        <xdr:cNvPr id="2054" name="Picture 6"/>
        <xdr:cNvPicPr preferRelativeResize="1">
          <a:picLocks noChangeAspect="1"/>
        </xdr:cNvPicPr>
      </xdr:nvPicPr>
      <xdr:blipFill>
        <a:blip r:embed="rId3"/>
        <a:stretch>
          <a:fillRect/>
        </a:stretch>
      </xdr:blipFill>
      <xdr:spPr bwMode="auto">
        <a:xfrm>
          <a:off x="4248150" y="6772275"/>
          <a:ext cx="3067050" cy="4476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152400</xdr:rowOff>
    </xdr:from>
    <xdr:ext cx="3914775" cy="4371975"/>
    <xdr:sp macro="" fLocksText="0" textlink="">
      <xdr:nvSpPr>
        <xdr:cNvPr id="3073" name="Text Box 1"/>
        <xdr:cNvSpPr txBox="1">
          <a:spLocks noChangeArrowheads="1"/>
        </xdr:cNvSpPr>
      </xdr:nvSpPr>
      <xdr:spPr bwMode="auto">
        <a:xfrm>
          <a:off x="3810000" y="4762500"/>
          <a:ext cx="3914775" cy="4371975"/>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Básicamente el ICG se calcula mediante una fórmula matemática (fórmula del indicador) que es el sumatorio de la carga (Q</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de 23 variables físico-químicas (tabla de la izquierda) ponderadas por un coeficiente (P</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La carga de una variable es un valor adimensional que se obtiene a partir de su curva de calidad estandarizada. Una curva de calidad es una representación gráfica de los valores analíticos que puede tomar la variable frente a la calidad o carga que siempre varía entre 0 (pésima) y 100 (óptima). Cada variable tiene su curva que está diseñada por expertos. </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El ICG varía entre 0 y 100 de forma que la calidad del agua se considera: </a:t>
          </a:r>
          <a:endParaRPr lang="es-ES" sz="800" b="1" i="0" u="none" strike="noStrike" baseline="0">
            <a:solidFill>
              <a:srgbClr val="000000"/>
            </a:solidFill>
            <a:latin typeface="Arial"/>
            <a:cs typeface="Arial"/>
          </a:endParaRPr>
        </a:p>
        <a:p>
          <a:pPr algn="l" rtl="0">
            <a:defRPr sz="1000"/>
          </a:pPr>
          <a:endParaRPr lang="es-ES" sz="800" b="1" i="0" u="none"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xdr:txBody>
    </xdr:sp>
    <xdr:clientData/>
  </xdr:oneCellAnchor>
  <xdr:twoCellAnchor>
    <xdr:from>
      <xdr:col>2</xdr:col>
      <xdr:colOff>0</xdr:colOff>
      <xdr:row>7</xdr:row>
      <xdr:rowOff>0</xdr:rowOff>
    </xdr:from>
    <xdr:to>
      <xdr:col>5</xdr:col>
      <xdr:colOff>0</xdr:colOff>
      <xdr:row>20</xdr:row>
      <xdr:rowOff>0</xdr:rowOff>
    </xdr:to>
    <xdr:graphicFrame macro="">
      <xdr:nvGraphicFramePr>
        <xdr:cNvPr id="3074" name="Chart 2"/>
        <xdr:cNvGraphicFramePr/>
      </xdr:nvGraphicFramePr>
      <xdr:xfrm>
        <a:off x="3810000" y="2667000"/>
        <a:ext cx="3914775" cy="21050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27</xdr:row>
      <xdr:rowOff>95250</xdr:rowOff>
    </xdr:from>
    <xdr:to>
      <xdr:col>1</xdr:col>
      <xdr:colOff>1943100</xdr:colOff>
      <xdr:row>47</xdr:row>
      <xdr:rowOff>47625</xdr:rowOff>
    </xdr:to>
    <xdr:pic>
      <xdr:nvPicPr>
        <xdr:cNvPr id="3079" name="Picture 7"/>
        <xdr:cNvPicPr preferRelativeResize="1">
          <a:picLocks noChangeAspect="1"/>
        </xdr:cNvPicPr>
      </xdr:nvPicPr>
      <xdr:blipFill>
        <a:blip r:embed="rId2"/>
        <a:stretch>
          <a:fillRect/>
        </a:stretch>
      </xdr:blipFill>
      <xdr:spPr bwMode="auto">
        <a:xfrm>
          <a:off x="76200" y="6000750"/>
          <a:ext cx="3343275" cy="3190875"/>
        </a:xfrm>
        <a:prstGeom prst="rect">
          <a:avLst/>
        </a:prstGeom>
        <a:noFill/>
        <a:ln>
          <a:noFill/>
        </a:ln>
      </xdr:spPr>
    </xdr:pic>
    <xdr:clientData/>
  </xdr:twoCellAnchor>
  <xdr:twoCellAnchor editAs="oneCell">
    <xdr:from>
      <xdr:col>2</xdr:col>
      <xdr:colOff>600075</xdr:colOff>
      <xdr:row>39</xdr:row>
      <xdr:rowOff>152400</xdr:rowOff>
    </xdr:from>
    <xdr:to>
      <xdr:col>4</xdr:col>
      <xdr:colOff>542925</xdr:colOff>
      <xdr:row>45</xdr:row>
      <xdr:rowOff>57150</xdr:rowOff>
    </xdr:to>
    <xdr:pic>
      <xdr:nvPicPr>
        <xdr:cNvPr id="3081" name="Picture 9"/>
        <xdr:cNvPicPr preferRelativeResize="1">
          <a:picLocks noChangeAspect="1"/>
        </xdr:cNvPicPr>
      </xdr:nvPicPr>
      <xdr:blipFill>
        <a:blip r:embed="rId3"/>
        <a:srcRect l="26510" r="26510"/>
        <a:stretch>
          <a:fillRect/>
        </a:stretch>
      </xdr:blipFill>
      <xdr:spPr bwMode="auto">
        <a:xfrm>
          <a:off x="4410075" y="8001000"/>
          <a:ext cx="2552700" cy="876300"/>
        </a:xfrm>
        <a:prstGeom prst="rect">
          <a:avLst/>
        </a:prstGeom>
        <a:noFill/>
        <a:ln>
          <a:noFill/>
        </a:ln>
      </xdr:spPr>
    </xdr:pic>
    <xdr:clientData/>
  </xdr:twoCellAnchor>
  <xdr:twoCellAnchor>
    <xdr:from>
      <xdr:col>2</xdr:col>
      <xdr:colOff>0</xdr:colOff>
      <xdr:row>56</xdr:row>
      <xdr:rowOff>0</xdr:rowOff>
    </xdr:from>
    <xdr:to>
      <xdr:col>5</xdr:col>
      <xdr:colOff>9525</xdr:colOff>
      <xdr:row>69</xdr:row>
      <xdr:rowOff>9525</xdr:rowOff>
    </xdr:to>
    <xdr:graphicFrame macro="">
      <xdr:nvGraphicFramePr>
        <xdr:cNvPr id="3084" name="Chart 12"/>
        <xdr:cNvGraphicFramePr/>
      </xdr:nvGraphicFramePr>
      <xdr:xfrm>
        <a:off x="3810000" y="12134850"/>
        <a:ext cx="3924300" cy="211455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69</xdr:row>
      <xdr:rowOff>0</xdr:rowOff>
    </xdr:from>
    <xdr:to>
      <xdr:col>5</xdr:col>
      <xdr:colOff>0</xdr:colOff>
      <xdr:row>80</xdr:row>
      <xdr:rowOff>0</xdr:rowOff>
    </xdr:to>
    <xdr:sp macro="" fLocksText="0" textlink="">
      <xdr:nvSpPr>
        <xdr:cNvPr id="3085" name="Text Box 13"/>
        <xdr:cNvSpPr txBox="1">
          <a:spLocks noChangeArrowheads="1"/>
        </xdr:cNvSpPr>
      </xdr:nvSpPr>
      <xdr:spPr bwMode="auto">
        <a:xfrm>
          <a:off x="3810000" y="14239875"/>
          <a:ext cx="3914775" cy="1781175"/>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xdr:txBody>
    </xdr:sp>
    <xdr:clientData/>
  </xdr:twoCellAnchor>
  <xdr:twoCellAnchor editAs="oneCell">
    <xdr:from>
      <xdr:col>2</xdr:col>
      <xdr:colOff>114300</xdr:colOff>
      <xdr:row>76</xdr:row>
      <xdr:rowOff>152400</xdr:rowOff>
    </xdr:from>
    <xdr:to>
      <xdr:col>4</xdr:col>
      <xdr:colOff>857250</xdr:colOff>
      <xdr:row>78</xdr:row>
      <xdr:rowOff>114300</xdr:rowOff>
    </xdr:to>
    <xdr:pic>
      <xdr:nvPicPr>
        <xdr:cNvPr id="3086" name="Picture 14"/>
        <xdr:cNvPicPr preferRelativeResize="1">
          <a:picLocks noChangeAspect="1"/>
        </xdr:cNvPicPr>
      </xdr:nvPicPr>
      <xdr:blipFill>
        <a:blip r:embed="rId5"/>
        <a:srcRect r="39167" b="33578"/>
        <a:stretch>
          <a:fillRect/>
        </a:stretch>
      </xdr:blipFill>
      <xdr:spPr bwMode="auto">
        <a:xfrm>
          <a:off x="3924300" y="15525750"/>
          <a:ext cx="3352800" cy="285750"/>
        </a:xfrm>
        <a:prstGeom prst="rect">
          <a:avLst/>
        </a:prstGeom>
        <a:noFill/>
        <a:ln>
          <a:noFill/>
        </a:ln>
      </xdr:spPr>
    </xdr:pic>
    <xdr:clientData/>
  </xdr:twoCellAnchor>
  <xdr:twoCellAnchor>
    <xdr:from>
      <xdr:col>2</xdr:col>
      <xdr:colOff>0</xdr:colOff>
      <xdr:row>89</xdr:row>
      <xdr:rowOff>0</xdr:rowOff>
    </xdr:from>
    <xdr:to>
      <xdr:col>5</xdr:col>
      <xdr:colOff>9525</xdr:colOff>
      <xdr:row>102</xdr:row>
      <xdr:rowOff>9525</xdr:rowOff>
    </xdr:to>
    <xdr:graphicFrame macro="">
      <xdr:nvGraphicFramePr>
        <xdr:cNvPr id="3087" name="Chart 15"/>
        <xdr:cNvGraphicFramePr/>
      </xdr:nvGraphicFramePr>
      <xdr:xfrm>
        <a:off x="3810000" y="19011900"/>
        <a:ext cx="3924300" cy="2114550"/>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102</xdr:row>
      <xdr:rowOff>0</xdr:rowOff>
    </xdr:from>
    <xdr:to>
      <xdr:col>5</xdr:col>
      <xdr:colOff>0</xdr:colOff>
      <xdr:row>112</xdr:row>
      <xdr:rowOff>0</xdr:rowOff>
    </xdr:to>
    <xdr:sp macro="" fLocksText="0" textlink="">
      <xdr:nvSpPr>
        <xdr:cNvPr id="3088" name="Text Box 16"/>
        <xdr:cNvSpPr txBox="1">
          <a:spLocks noChangeArrowheads="1"/>
        </xdr:cNvSpPr>
      </xdr:nvSpPr>
      <xdr:spPr bwMode="auto">
        <a:xfrm>
          <a:off x="3810000" y="21116925"/>
          <a:ext cx="3914775" cy="161925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Se miden directamente los mg l</a:t>
          </a:r>
          <a:r>
            <a:rPr lang="es-ES" sz="800" b="0" i="0" u="none" strike="noStrike" baseline="30000">
              <a:solidFill>
                <a:srgbClr val="000000"/>
              </a:solidFill>
              <a:latin typeface="Arial"/>
              <a:cs typeface="Arial"/>
            </a:rPr>
            <a:t>-1</a:t>
          </a:r>
          <a:r>
            <a:rPr lang="es-ES" sz="800" b="0" i="0" u="none" strike="noStrike" baseline="0">
              <a:solidFill>
                <a:srgbClr val="000000"/>
              </a:solidFill>
              <a:latin typeface="Arial"/>
              <a:cs typeface="Arial"/>
            </a:rPr>
            <a:t> de O</a:t>
          </a:r>
          <a:r>
            <a:rPr lang="es-ES" sz="800" b="0" i="0" u="none" strike="noStrike" baseline="-25000">
              <a:solidFill>
                <a:srgbClr val="000000"/>
              </a:solidFill>
              <a:latin typeface="Arial"/>
              <a:cs typeface="Arial"/>
            </a:rPr>
            <a:t>2</a:t>
          </a:r>
          <a:endParaRPr lang="es-ES" sz="800" b="0" i="0" u="none"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xdr:txBody>
    </xdr:sp>
    <xdr:clientData/>
  </xdr:twoCellAnchor>
  <xdr:oneCellAnchor>
    <xdr:from>
      <xdr:col>2</xdr:col>
      <xdr:colOff>0</xdr:colOff>
      <xdr:row>134</xdr:row>
      <xdr:rowOff>0</xdr:rowOff>
    </xdr:from>
    <xdr:ext cx="3886200" cy="2743200"/>
    <xdr:sp macro="" fLocksText="0" textlink="">
      <xdr:nvSpPr>
        <xdr:cNvPr id="3090" name="Text Box 18"/>
        <xdr:cNvSpPr txBox="1">
          <a:spLocks noChangeArrowheads="1"/>
        </xdr:cNvSpPr>
      </xdr:nvSpPr>
      <xdr:spPr bwMode="auto">
        <a:xfrm>
          <a:off x="3810000" y="27832050"/>
          <a:ext cx="3886200" cy="2743200"/>
        </a:xfrm>
        <a:prstGeom prst="rect">
          <a:avLst/>
        </a:prstGeom>
        <a:solidFill>
          <a:srgbClr val="CCFFCC"/>
        </a:solidFill>
        <a:ln w="19050">
          <a:noFill/>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endParaRPr lang="es-ES" sz="800" b="1"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Analiza la contaminación del agua por tratamientos fitosanitarios. Se basa en una clasificación de los tramtamientos fitosanitarios en 140 grados en función de los 4 parámetros de peligrosidad (general, para la fauna terrestres, para la fauna acuñicola y plazo de seguridad) y del tipo de tratamiento.</a:t>
          </a:r>
        </a:p>
        <a:p>
          <a:pPr algn="l" rtl="0">
            <a:defRPr sz="1000"/>
          </a:pPr>
          <a:r>
            <a:rPr lang="es-ES" sz="800" b="0" i="0" u="none" strike="noStrike" baseline="0">
              <a:solidFill>
                <a:srgbClr val="000000"/>
              </a:solidFill>
              <a:latin typeface="Arial"/>
              <a:cs typeface="Arial"/>
            </a:rPr>
            <a:t>Las técnicas de aplicación, espolvoreo, atomización, nebulización y pulverización, proporcionan información sobre la cantidad de producto a aplicar (a mayor perfección en la técnica corresponde menor cantidad de producto) y sobre las características de la dispersión del producto, función de la distancia a que la máquina empleada puede enviarlo.</a:t>
          </a: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xdr:txBody>
    </xdr:sp>
    <xdr:clientData/>
  </xdr:oneCellAnchor>
  <xdr:twoCellAnchor>
    <xdr:from>
      <xdr:col>2</xdr:col>
      <xdr:colOff>0</xdr:colOff>
      <xdr:row>121</xdr:row>
      <xdr:rowOff>9525</xdr:rowOff>
    </xdr:from>
    <xdr:to>
      <xdr:col>5</xdr:col>
      <xdr:colOff>0</xdr:colOff>
      <xdr:row>134</xdr:row>
      <xdr:rowOff>0</xdr:rowOff>
    </xdr:to>
    <xdr:graphicFrame macro="">
      <xdr:nvGraphicFramePr>
        <xdr:cNvPr id="3091" name="Chart 19"/>
        <xdr:cNvGraphicFramePr/>
      </xdr:nvGraphicFramePr>
      <xdr:xfrm>
        <a:off x="3810000" y="25736550"/>
        <a:ext cx="3914775" cy="209550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162</xdr:row>
      <xdr:rowOff>0</xdr:rowOff>
    </xdr:from>
    <xdr:to>
      <xdr:col>0</xdr:col>
      <xdr:colOff>0</xdr:colOff>
      <xdr:row>162</xdr:row>
      <xdr:rowOff>0</xdr:rowOff>
    </xdr:to>
    <xdr:graphicFrame macro="">
      <xdr:nvGraphicFramePr>
        <xdr:cNvPr id="3092" name="Chart 20"/>
        <xdr:cNvGraphicFramePr/>
      </xdr:nvGraphicFramePr>
      <xdr:xfrm>
        <a:off x="0" y="32365950"/>
        <a:ext cx="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162</xdr:row>
      <xdr:rowOff>0</xdr:rowOff>
    </xdr:from>
    <xdr:to>
      <xdr:col>0</xdr:col>
      <xdr:colOff>0</xdr:colOff>
      <xdr:row>162</xdr:row>
      <xdr:rowOff>0</xdr:rowOff>
    </xdr:to>
    <xdr:graphicFrame macro="">
      <xdr:nvGraphicFramePr>
        <xdr:cNvPr id="3093" name="Chart 21"/>
        <xdr:cNvGraphicFramePr/>
      </xdr:nvGraphicFramePr>
      <xdr:xfrm>
        <a:off x="0" y="32365950"/>
        <a:ext cx="0" cy="0"/>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169</xdr:row>
      <xdr:rowOff>0</xdr:rowOff>
    </xdr:from>
    <xdr:to>
      <xdr:col>4</xdr:col>
      <xdr:colOff>1295400</xdr:colOff>
      <xdr:row>182</xdr:row>
      <xdr:rowOff>0</xdr:rowOff>
    </xdr:to>
    <xdr:graphicFrame macro="">
      <xdr:nvGraphicFramePr>
        <xdr:cNvPr id="3101" name="Chart 29"/>
        <xdr:cNvGraphicFramePr/>
      </xdr:nvGraphicFramePr>
      <xdr:xfrm>
        <a:off x="3810000" y="35032950"/>
        <a:ext cx="3905250" cy="2105025"/>
      </xdr:xfrm>
      <a:graphic>
        <a:graphicData uri="http://schemas.openxmlformats.org/drawingml/2006/chart">
          <c:chart xmlns:c="http://schemas.openxmlformats.org/drawingml/2006/chart" r:id="rId10"/>
        </a:graphicData>
      </a:graphic>
    </xdr:graphicFrame>
    <xdr:clientData/>
  </xdr:twoCellAnchor>
  <xdr:oneCellAnchor>
    <xdr:from>
      <xdr:col>0</xdr:col>
      <xdr:colOff>9525</xdr:colOff>
      <xdr:row>151</xdr:row>
      <xdr:rowOff>0</xdr:rowOff>
    </xdr:from>
    <xdr:ext cx="7705725" cy="1371600"/>
    <xdr:sp macro="" fLocksText="0" textlink="">
      <xdr:nvSpPr>
        <xdr:cNvPr id="3103" name="Text Box 31"/>
        <xdr:cNvSpPr txBox="1">
          <a:spLocks noChangeArrowheads="1"/>
        </xdr:cNvSpPr>
      </xdr:nvSpPr>
      <xdr:spPr bwMode="auto">
        <a:xfrm>
          <a:off x="9525" y="30584775"/>
          <a:ext cx="7705725" cy="1371600"/>
        </a:xfrm>
        <a:prstGeom prst="rect">
          <a:avLst/>
        </a:prstGeom>
        <a:solidFill>
          <a:srgbClr val="CCFFCC"/>
        </a:solidFill>
        <a:ln w="19050">
          <a:noFill/>
        </a:ln>
      </xdr:spPr>
      <xdr:txBody>
        <a:bodyPr vertOverflow="clip" wrap="square" lIns="27432" tIns="22860" rIns="0" bIns="0" anchor="t" upright="1"/>
        <a:lstStyle/>
        <a:p>
          <a:pPr algn="l" rtl="0">
            <a:defRPr sz="1000"/>
          </a:pPr>
          <a:r>
            <a:rPr lang="es-ES" sz="800" b="0" i="0" u="none" strike="noStrike" baseline="0">
              <a:solidFill>
                <a:srgbClr val="000000"/>
              </a:solidFill>
              <a:latin typeface="Arial"/>
              <a:cs typeface="Arial"/>
            </a:rPr>
            <a:t>Uniendo ambos aspectos es posible calsificar los tratamientos en función del efecto que pueden producir. El que aquí se describe se denomina ICT y se puede utilizar para un solo producto, para un tratamiento con varios productos o para un calendario de tratamientos que cubra el ciclo completo de una explotación.</a:t>
          </a:r>
        </a:p>
        <a:p>
          <a:pPr algn="l" rtl="0">
            <a:defRPr sz="1000"/>
          </a:pPr>
          <a:r>
            <a:rPr lang="es-ES" sz="800" b="0" i="0" u="none" strike="noStrike" baseline="0">
              <a:solidFill>
                <a:srgbClr val="000000"/>
              </a:solidFill>
              <a:latin typeface="Arial"/>
              <a:cs typeface="Arial"/>
            </a:rPr>
            <a:t>Para el caso de un solo producto, el ICT se confeccona combinando, por orden de importancia, los siguientes aspectos:</a:t>
          </a:r>
        </a:p>
        <a:p>
          <a:pPr algn="l" rtl="0">
            <a:defRPr sz="1000"/>
          </a:pPr>
          <a:r>
            <a:rPr lang="es-ES" sz="800" b="0" i="0" u="none" strike="noStrike" baseline="0">
              <a:solidFill>
                <a:srgbClr val="000000"/>
              </a:solidFill>
              <a:latin typeface="Arial"/>
              <a:cs typeface="Arial"/>
            </a:rPr>
            <a:t>1.La toxicidad general del producto (A:baja, B:peligroso, C:tóxico, D:muy tóxico)</a:t>
          </a:r>
        </a:p>
        <a:p>
          <a:pPr algn="l" rtl="0">
            <a:defRPr sz="1000"/>
          </a:pPr>
          <a:r>
            <a:rPr lang="es-ES" sz="800" b="0" i="0" u="none" strike="noStrike" baseline="0">
              <a:solidFill>
                <a:srgbClr val="000000"/>
              </a:solidFill>
              <a:latin typeface="Arial"/>
              <a:cs typeface="Arial"/>
            </a:rPr>
            <a:t>2. La toxicidad para la fauna terrestre (A:inocuo, B:peligroso, C:muy peligroso)</a:t>
          </a:r>
        </a:p>
        <a:p>
          <a:pPr algn="l" rtl="0">
            <a:defRPr sz="1000"/>
          </a:pPr>
          <a:r>
            <a:rPr lang="es-ES" sz="800" b="0" i="0" u="none" strike="noStrike" baseline="0">
              <a:solidFill>
                <a:srgbClr val="000000"/>
              </a:solidFill>
              <a:latin typeface="Arial"/>
              <a:cs typeface="Arial"/>
            </a:rPr>
            <a:t>3.La toxicidad para la fauna acuícola (A:inocuo, B:peligroso, C:muy peligroso)</a:t>
          </a:r>
        </a:p>
        <a:p>
          <a:pPr algn="l" rtl="0">
            <a:defRPr sz="1000"/>
          </a:pPr>
          <a:r>
            <a:rPr lang="es-ES" sz="800" b="0" i="0" u="none" strike="noStrike" baseline="0">
              <a:solidFill>
                <a:srgbClr val="000000"/>
              </a:solidFill>
              <a:latin typeface="Arial"/>
              <a:cs typeface="Arial"/>
            </a:rPr>
            <a:t>4. El tipo de tratamiento (1:nebulización, 2:atomización, 3:pulverización, 4:espolvoreo, 5:aéreo)</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Así se obtienen 140 combinaciones o grados del IGC, que van desde la primera y menos agresiva (AAA1) hasta la 140 (DCC5), ambientalmente la más peligrosa.</a:t>
          </a:r>
        </a:p>
      </xdr:txBody>
    </xdr:sp>
    <xdr:clientData/>
  </xdr:oneCellAnchor>
  <xdr:twoCellAnchor editAs="oneCell">
    <xdr:from>
      <xdr:col>1</xdr:col>
      <xdr:colOff>428625</xdr:colOff>
      <xdr:row>163</xdr:row>
      <xdr:rowOff>371475</xdr:rowOff>
    </xdr:from>
    <xdr:to>
      <xdr:col>1</xdr:col>
      <xdr:colOff>1809750</xdr:colOff>
      <xdr:row>164</xdr:row>
      <xdr:rowOff>361950</xdr:rowOff>
    </xdr:to>
    <xdr:pic>
      <xdr:nvPicPr>
        <xdr:cNvPr id="3104" name="Picture 32"/>
        <xdr:cNvPicPr preferRelativeResize="1">
          <a:picLocks noChangeAspect="1"/>
        </xdr:cNvPicPr>
      </xdr:nvPicPr>
      <xdr:blipFill>
        <a:blip r:embed="rId11"/>
        <a:stretch>
          <a:fillRect/>
        </a:stretch>
      </xdr:blipFill>
      <xdr:spPr bwMode="auto">
        <a:xfrm>
          <a:off x="1905000" y="33118425"/>
          <a:ext cx="1381125" cy="371475"/>
        </a:xfrm>
        <a:prstGeom prst="rect">
          <a:avLst/>
        </a:prstGeom>
        <a:noFill/>
        <a:ln>
          <a:noFill/>
        </a:ln>
      </xdr:spPr>
    </xdr:pic>
    <xdr:clientData/>
  </xdr:twoCellAnchor>
  <xdr:oneCellAnchor>
    <xdr:from>
      <xdr:col>2</xdr:col>
      <xdr:colOff>0</xdr:colOff>
      <xdr:row>182</xdr:row>
      <xdr:rowOff>0</xdr:rowOff>
    </xdr:from>
    <xdr:ext cx="3905250" cy="2743200"/>
    <xdr:sp macro="" fLocksText="0" textlink="">
      <xdr:nvSpPr>
        <xdr:cNvPr id="3105" name="Text Box 33"/>
        <xdr:cNvSpPr txBox="1">
          <a:spLocks noChangeArrowheads="1"/>
        </xdr:cNvSpPr>
      </xdr:nvSpPr>
      <xdr:spPr bwMode="auto">
        <a:xfrm>
          <a:off x="3810000" y="37137975"/>
          <a:ext cx="3905250" cy="27432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La valoración de un recurso hídrico se asocia a la cantidad de recurso (Iq</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y a su calidad (Ic</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Los indicadores de cantidad de recurso son: Iq</a:t>
          </a:r>
          <a:r>
            <a:rPr lang="es-ES" sz="800" b="0" i="0" u="none" strike="noStrike" baseline="-25000">
              <a:solidFill>
                <a:srgbClr val="000000"/>
              </a:solidFill>
              <a:latin typeface="Arial"/>
              <a:cs typeface="Arial"/>
            </a:rPr>
            <a:t>invierno</a:t>
          </a:r>
          <a:r>
            <a:rPr lang="es-ES" sz="800" b="0" i="0" u="none" strike="noStrike" baseline="0">
              <a:solidFill>
                <a:srgbClr val="000000"/>
              </a:solidFill>
              <a:latin typeface="Arial"/>
              <a:cs typeface="Arial"/>
            </a:rPr>
            <a:t>, Iq</a:t>
          </a:r>
          <a:r>
            <a:rPr lang="es-ES" sz="800" b="0" i="0" u="none" strike="noStrike" baseline="-25000">
              <a:solidFill>
                <a:srgbClr val="000000"/>
              </a:solidFill>
              <a:latin typeface="Arial"/>
              <a:cs typeface="Arial"/>
            </a:rPr>
            <a:t>verano</a:t>
          </a:r>
          <a:r>
            <a:rPr lang="es-ES" sz="800" b="0" i="0" u="none" strike="noStrike" baseline="0">
              <a:solidFill>
                <a:srgbClr val="000000"/>
              </a:solidFill>
              <a:latin typeface="Arial"/>
              <a:cs typeface="Arial"/>
            </a:rPr>
            <a:t>, Iq</a:t>
          </a:r>
          <a:r>
            <a:rPr lang="es-ES" sz="800" b="0" i="0" u="none" strike="noStrike" baseline="-25000">
              <a:solidFill>
                <a:srgbClr val="000000"/>
              </a:solidFill>
              <a:latin typeface="Arial"/>
              <a:cs typeface="Arial"/>
            </a:rPr>
            <a:t>primavera</a:t>
          </a:r>
          <a:r>
            <a:rPr lang="es-ES" sz="800" b="0" i="0" u="none" strike="noStrike" baseline="0">
              <a:solidFill>
                <a:srgbClr val="000000"/>
              </a:solidFill>
              <a:latin typeface="Arial"/>
              <a:cs typeface="Arial"/>
            </a:rPr>
            <a:t>, Iq</a:t>
          </a:r>
          <a:r>
            <a:rPr lang="es-ES" sz="800" b="0" i="0" u="none" strike="noStrike" baseline="-25000">
              <a:solidFill>
                <a:srgbClr val="000000"/>
              </a:solidFill>
              <a:latin typeface="Arial"/>
              <a:cs typeface="Arial"/>
            </a:rPr>
            <a:t>otoño</a:t>
          </a:r>
          <a:r>
            <a:rPr lang="es-ES" sz="800" b="0" i="0" u="none" strike="noStrike" baseline="0">
              <a:solidFill>
                <a:srgbClr val="000000"/>
              </a:solidFill>
              <a:latin typeface="Arial"/>
              <a:cs typeface="Arial"/>
            </a:rPr>
            <a:t>. Hay 36 indicadores de calidad, Ic (que son los indicadores 89 a 124). El índice que sintetiza calidad y cantidad es: </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I</a:t>
          </a:r>
          <a:r>
            <a:rPr lang="es-ES" sz="800" b="0" i="0" u="none" strike="noStrike" baseline="-25000">
              <a:solidFill>
                <a:srgbClr val="000000"/>
              </a:solidFill>
              <a:latin typeface="Arial"/>
              <a:cs typeface="Arial"/>
            </a:rPr>
            <a:t>calidad del agua potable</a:t>
          </a:r>
          <a:r>
            <a:rPr lang="es-ES" sz="800" b="0" i="0" u="none" strike="noStrike" baseline="0">
              <a:solidFill>
                <a:srgbClr val="000000"/>
              </a:solidFill>
              <a:latin typeface="Arial"/>
              <a:cs typeface="Arial"/>
            </a:rPr>
            <a:t> =   </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con Iq</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 f (Caudal</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 Caudal</a:t>
          </a:r>
          <a:r>
            <a:rPr lang="es-ES" sz="800" b="0" i="0" u="none" strike="noStrike" baseline="-25000">
              <a:solidFill>
                <a:srgbClr val="000000"/>
              </a:solidFill>
              <a:latin typeface="Arial"/>
              <a:cs typeface="Arial"/>
            </a:rPr>
            <a:t>medio</a:t>
          </a:r>
          <a:r>
            <a:rPr lang="es-ES" sz="800" b="0" i="0" u="none" strike="noStrike" baseline="0">
              <a:solidFill>
                <a:srgbClr val="000000"/>
              </a:solidFill>
              <a:latin typeface="Arial"/>
              <a:cs typeface="Arial"/>
            </a:rPr>
            <a:t>)</a:t>
          </a:r>
        </a:p>
        <a:p>
          <a:pPr algn="l" rtl="0">
            <a:defRPr sz="1000"/>
          </a:pPr>
          <a:endParaRPr lang="es-ES" sz="800" b="1" i="0" u="none" strike="noStrike" baseline="0">
            <a:solidFill>
              <a:srgbClr val="000000"/>
            </a:solidFill>
            <a:latin typeface="Arial"/>
            <a:cs typeface="Arial"/>
          </a:endParaRPr>
        </a:p>
        <a:p>
          <a:pPr algn="l" rtl="0">
            <a:defRPr sz="1000"/>
          </a:pPr>
          <a:endParaRPr lang="es-ES" sz="800" b="1" i="0" u="none" strike="noStrike" baseline="0">
            <a:solidFill>
              <a:srgbClr val="000000"/>
            </a:solidFill>
            <a:latin typeface="Arial"/>
            <a:cs typeface="Arial"/>
          </a:endParaRPr>
        </a:p>
      </xdr:txBody>
    </xdr:sp>
    <xdr:clientData/>
  </xdr:oneCellAnchor>
  <xdr:twoCellAnchor editAs="oneCell">
    <xdr:from>
      <xdr:col>2</xdr:col>
      <xdr:colOff>1047750</xdr:colOff>
      <xdr:row>195</xdr:row>
      <xdr:rowOff>57150</xdr:rowOff>
    </xdr:from>
    <xdr:to>
      <xdr:col>3</xdr:col>
      <xdr:colOff>1123950</xdr:colOff>
      <xdr:row>197</xdr:row>
      <xdr:rowOff>104775</xdr:rowOff>
    </xdr:to>
    <xdr:pic>
      <xdr:nvPicPr>
        <xdr:cNvPr id="3106" name="Picture 34"/>
        <xdr:cNvPicPr preferRelativeResize="1">
          <a:picLocks noChangeAspect="1"/>
        </xdr:cNvPicPr>
      </xdr:nvPicPr>
      <xdr:blipFill>
        <a:blip r:embed="rId12"/>
        <a:stretch>
          <a:fillRect/>
        </a:stretch>
      </xdr:blipFill>
      <xdr:spPr bwMode="auto">
        <a:xfrm>
          <a:off x="4857750" y="39300150"/>
          <a:ext cx="1381125" cy="371475"/>
        </a:xfrm>
        <a:prstGeom prst="rect">
          <a:avLst/>
        </a:prstGeom>
        <a:noFill/>
        <a:ln>
          <a:noFill/>
        </a:ln>
      </xdr:spPr>
    </xdr:pic>
    <xdr:clientData/>
  </xdr:twoCellAnchor>
  <xdr:twoCellAnchor>
    <xdr:from>
      <xdr:col>2</xdr:col>
      <xdr:colOff>0</xdr:colOff>
      <xdr:row>208</xdr:row>
      <xdr:rowOff>0</xdr:rowOff>
    </xdr:from>
    <xdr:to>
      <xdr:col>4</xdr:col>
      <xdr:colOff>1295400</xdr:colOff>
      <xdr:row>221</xdr:row>
      <xdr:rowOff>0</xdr:rowOff>
    </xdr:to>
    <xdr:graphicFrame macro="">
      <xdr:nvGraphicFramePr>
        <xdr:cNvPr id="3107" name="Chart 35"/>
        <xdr:cNvGraphicFramePr/>
      </xdr:nvGraphicFramePr>
      <xdr:xfrm>
        <a:off x="3810000" y="42881550"/>
        <a:ext cx="3905250" cy="2105025"/>
      </xdr:xfrm>
      <a:graphic>
        <a:graphicData uri="http://schemas.openxmlformats.org/drawingml/2006/chart">
          <c:chart xmlns:c="http://schemas.openxmlformats.org/drawingml/2006/chart" r:id="rId13"/>
        </a:graphicData>
      </a:graphic>
    </xdr:graphicFrame>
    <xdr:clientData/>
  </xdr:twoCellAnchor>
  <xdr:twoCellAnchor editAs="oneCell">
    <xdr:from>
      <xdr:col>1</xdr:col>
      <xdr:colOff>428625</xdr:colOff>
      <xdr:row>202</xdr:row>
      <xdr:rowOff>371475</xdr:rowOff>
    </xdr:from>
    <xdr:to>
      <xdr:col>1</xdr:col>
      <xdr:colOff>1809750</xdr:colOff>
      <xdr:row>203</xdr:row>
      <xdr:rowOff>361950</xdr:rowOff>
    </xdr:to>
    <xdr:pic>
      <xdr:nvPicPr>
        <xdr:cNvPr id="3108" name="Picture 36"/>
        <xdr:cNvPicPr preferRelativeResize="1">
          <a:picLocks noChangeAspect="1"/>
        </xdr:cNvPicPr>
      </xdr:nvPicPr>
      <xdr:blipFill>
        <a:blip r:embed="rId11"/>
        <a:stretch>
          <a:fillRect/>
        </a:stretch>
      </xdr:blipFill>
      <xdr:spPr bwMode="auto">
        <a:xfrm>
          <a:off x="1905000" y="40967025"/>
          <a:ext cx="1381125" cy="371475"/>
        </a:xfrm>
        <a:prstGeom prst="rect">
          <a:avLst/>
        </a:prstGeom>
        <a:noFill/>
        <a:ln>
          <a:noFill/>
        </a:ln>
      </xdr:spPr>
    </xdr:pic>
    <xdr:clientData/>
  </xdr:twoCellAnchor>
  <xdr:oneCellAnchor>
    <xdr:from>
      <xdr:col>2</xdr:col>
      <xdr:colOff>0</xdr:colOff>
      <xdr:row>221</xdr:row>
      <xdr:rowOff>0</xdr:rowOff>
    </xdr:from>
    <xdr:ext cx="3914775" cy="2743200"/>
    <xdr:sp macro="" fLocksText="0" textlink="">
      <xdr:nvSpPr>
        <xdr:cNvPr id="3109" name="Text Box 37"/>
        <xdr:cNvSpPr txBox="1">
          <a:spLocks noChangeArrowheads="1"/>
        </xdr:cNvSpPr>
      </xdr:nvSpPr>
      <xdr:spPr bwMode="auto">
        <a:xfrm>
          <a:off x="3810000" y="44986575"/>
          <a:ext cx="3914775" cy="27432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La valoración de un recurso hídrico se asocia a la cantidad de recurso (Iq</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y a su calidad (Ic</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Los indicadores de cantidad de recurso son: Iq</a:t>
          </a:r>
          <a:r>
            <a:rPr lang="es-ES" sz="800" b="0" i="0" u="none" strike="noStrike" baseline="-25000">
              <a:solidFill>
                <a:srgbClr val="000000"/>
              </a:solidFill>
              <a:latin typeface="Arial"/>
              <a:cs typeface="Arial"/>
            </a:rPr>
            <a:t>invierno</a:t>
          </a:r>
          <a:r>
            <a:rPr lang="es-ES" sz="800" b="0" i="0" u="none" strike="noStrike" baseline="0">
              <a:solidFill>
                <a:srgbClr val="000000"/>
              </a:solidFill>
              <a:latin typeface="Arial"/>
              <a:cs typeface="Arial"/>
            </a:rPr>
            <a:t>, Iq</a:t>
          </a:r>
          <a:r>
            <a:rPr lang="es-ES" sz="800" b="0" i="0" u="none" strike="noStrike" baseline="-25000">
              <a:solidFill>
                <a:srgbClr val="000000"/>
              </a:solidFill>
              <a:latin typeface="Arial"/>
              <a:cs typeface="Arial"/>
            </a:rPr>
            <a:t>verano</a:t>
          </a:r>
          <a:r>
            <a:rPr lang="es-ES" sz="800" b="0" i="0" u="none" strike="noStrike" baseline="0">
              <a:solidFill>
                <a:srgbClr val="000000"/>
              </a:solidFill>
              <a:latin typeface="Arial"/>
              <a:cs typeface="Arial"/>
            </a:rPr>
            <a:t>, Iq</a:t>
          </a:r>
          <a:r>
            <a:rPr lang="es-ES" sz="800" b="0" i="0" u="none" strike="noStrike" baseline="-25000">
              <a:solidFill>
                <a:srgbClr val="000000"/>
              </a:solidFill>
              <a:latin typeface="Arial"/>
              <a:cs typeface="Arial"/>
            </a:rPr>
            <a:t>primavera</a:t>
          </a:r>
          <a:r>
            <a:rPr lang="es-ES" sz="800" b="0" i="0" u="none" strike="noStrike" baseline="0">
              <a:solidFill>
                <a:srgbClr val="000000"/>
              </a:solidFill>
              <a:latin typeface="Arial"/>
              <a:cs typeface="Arial"/>
            </a:rPr>
            <a:t>, Iq</a:t>
          </a:r>
          <a:r>
            <a:rPr lang="es-ES" sz="800" b="0" i="0" u="none" strike="noStrike" baseline="-25000">
              <a:solidFill>
                <a:srgbClr val="000000"/>
              </a:solidFill>
              <a:latin typeface="Arial"/>
              <a:cs typeface="Arial"/>
            </a:rPr>
            <a:t>otoño</a:t>
          </a:r>
          <a:r>
            <a:rPr lang="es-ES" sz="800" b="0" i="0" u="none" strike="noStrike" baseline="0">
              <a:solidFill>
                <a:srgbClr val="000000"/>
              </a:solidFill>
              <a:latin typeface="Arial"/>
              <a:cs typeface="Arial"/>
            </a:rPr>
            <a:t>. Hay 36 indicadores de calidad, Ic (que son los indicadores 89 a 124). El índice que sintetiza calidad y cantidad es: </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I</a:t>
          </a:r>
          <a:r>
            <a:rPr lang="es-ES" sz="800" b="0" i="0" u="none" strike="noStrike" baseline="-25000">
              <a:solidFill>
                <a:srgbClr val="000000"/>
              </a:solidFill>
              <a:latin typeface="Arial"/>
              <a:cs typeface="Arial"/>
            </a:rPr>
            <a:t>calidad del agua potable</a:t>
          </a:r>
          <a:r>
            <a:rPr lang="es-ES" sz="800" b="0" i="0" u="none" strike="noStrike" baseline="0">
              <a:solidFill>
                <a:srgbClr val="000000"/>
              </a:solidFill>
              <a:latin typeface="Arial"/>
              <a:cs typeface="Arial"/>
            </a:rPr>
            <a:t> =   </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con Iq</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 f (Caudal</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 Caudal</a:t>
          </a:r>
          <a:r>
            <a:rPr lang="es-ES" sz="800" b="0" i="0" u="none" strike="noStrike" baseline="-25000">
              <a:solidFill>
                <a:srgbClr val="000000"/>
              </a:solidFill>
              <a:latin typeface="Arial"/>
              <a:cs typeface="Arial"/>
            </a:rPr>
            <a:t>medio</a:t>
          </a:r>
          <a:r>
            <a:rPr lang="es-ES" sz="800" b="0" i="0" u="none" strike="noStrike" baseline="0">
              <a:solidFill>
                <a:srgbClr val="000000"/>
              </a:solidFill>
              <a:latin typeface="Arial"/>
              <a:cs typeface="Arial"/>
            </a:rPr>
            <a:t>)</a:t>
          </a:r>
        </a:p>
        <a:p>
          <a:pPr algn="l" rtl="0">
            <a:defRPr sz="1000"/>
          </a:pPr>
          <a:endParaRPr lang="es-ES" sz="800" b="1" i="0" u="none" strike="noStrike" baseline="0">
            <a:solidFill>
              <a:srgbClr val="000000"/>
            </a:solidFill>
            <a:latin typeface="Arial"/>
            <a:cs typeface="Arial"/>
          </a:endParaRPr>
        </a:p>
        <a:p>
          <a:pPr algn="l" rtl="0">
            <a:defRPr sz="1000"/>
          </a:pPr>
          <a:endParaRPr lang="es-ES" sz="800" b="1" i="0" u="none" strike="noStrike" baseline="0">
            <a:solidFill>
              <a:srgbClr val="000000"/>
            </a:solidFill>
            <a:latin typeface="Arial"/>
            <a:cs typeface="Arial"/>
          </a:endParaRPr>
        </a:p>
      </xdr:txBody>
    </xdr:sp>
    <xdr:clientData/>
  </xdr:oneCellAnchor>
  <xdr:twoCellAnchor editAs="oneCell">
    <xdr:from>
      <xdr:col>2</xdr:col>
      <xdr:colOff>1047750</xdr:colOff>
      <xdr:row>234</xdr:row>
      <xdr:rowOff>57150</xdr:rowOff>
    </xdr:from>
    <xdr:to>
      <xdr:col>3</xdr:col>
      <xdr:colOff>1123950</xdr:colOff>
      <xdr:row>236</xdr:row>
      <xdr:rowOff>104775</xdr:rowOff>
    </xdr:to>
    <xdr:pic>
      <xdr:nvPicPr>
        <xdr:cNvPr id="3110" name="Picture 38"/>
        <xdr:cNvPicPr preferRelativeResize="1">
          <a:picLocks noChangeAspect="1"/>
        </xdr:cNvPicPr>
      </xdr:nvPicPr>
      <xdr:blipFill>
        <a:blip r:embed="rId12"/>
        <a:stretch>
          <a:fillRect/>
        </a:stretch>
      </xdr:blipFill>
      <xdr:spPr bwMode="auto">
        <a:xfrm>
          <a:off x="4857750" y="47148750"/>
          <a:ext cx="1381125" cy="371475"/>
        </a:xfrm>
        <a:prstGeom prst="rect">
          <a:avLst/>
        </a:prstGeom>
        <a:noFill/>
        <a:ln>
          <a:noFill/>
        </a:ln>
      </xdr:spPr>
    </xdr:pic>
    <xdr:clientData/>
  </xdr:twoCellAnchor>
  <xdr:twoCellAnchor>
    <xdr:from>
      <xdr:col>1</xdr:col>
      <xdr:colOff>2314575</xdr:colOff>
      <xdr:row>247</xdr:row>
      <xdr:rowOff>0</xdr:rowOff>
    </xdr:from>
    <xdr:to>
      <xdr:col>4</xdr:col>
      <xdr:colOff>1295400</xdr:colOff>
      <xdr:row>260</xdr:row>
      <xdr:rowOff>0</xdr:rowOff>
    </xdr:to>
    <xdr:graphicFrame macro="">
      <xdr:nvGraphicFramePr>
        <xdr:cNvPr id="3111" name="Chart 39"/>
        <xdr:cNvGraphicFramePr/>
      </xdr:nvGraphicFramePr>
      <xdr:xfrm>
        <a:off x="3790950" y="50730150"/>
        <a:ext cx="3924300" cy="2105025"/>
      </xdr:xfrm>
      <a:graphic>
        <a:graphicData uri="http://schemas.openxmlformats.org/drawingml/2006/chart">
          <c:chart xmlns:c="http://schemas.openxmlformats.org/drawingml/2006/chart" r:id="rId14"/>
        </a:graphicData>
      </a:graphic>
    </xdr:graphicFrame>
    <xdr:clientData/>
  </xdr:twoCellAnchor>
  <xdr:twoCellAnchor editAs="oneCell">
    <xdr:from>
      <xdr:col>1</xdr:col>
      <xdr:colOff>428625</xdr:colOff>
      <xdr:row>241</xdr:row>
      <xdr:rowOff>371475</xdr:rowOff>
    </xdr:from>
    <xdr:to>
      <xdr:col>1</xdr:col>
      <xdr:colOff>1809750</xdr:colOff>
      <xdr:row>242</xdr:row>
      <xdr:rowOff>361950</xdr:rowOff>
    </xdr:to>
    <xdr:pic>
      <xdr:nvPicPr>
        <xdr:cNvPr id="3112" name="Picture 40"/>
        <xdr:cNvPicPr preferRelativeResize="1">
          <a:picLocks noChangeAspect="1"/>
        </xdr:cNvPicPr>
      </xdr:nvPicPr>
      <xdr:blipFill>
        <a:blip r:embed="rId11"/>
        <a:stretch>
          <a:fillRect/>
        </a:stretch>
      </xdr:blipFill>
      <xdr:spPr bwMode="auto">
        <a:xfrm>
          <a:off x="1905000" y="48815625"/>
          <a:ext cx="1381125" cy="371475"/>
        </a:xfrm>
        <a:prstGeom prst="rect">
          <a:avLst/>
        </a:prstGeom>
        <a:noFill/>
        <a:ln>
          <a:noFill/>
        </a:ln>
      </xdr:spPr>
    </xdr:pic>
    <xdr:clientData/>
  </xdr:twoCellAnchor>
  <xdr:oneCellAnchor>
    <xdr:from>
      <xdr:col>2</xdr:col>
      <xdr:colOff>0</xdr:colOff>
      <xdr:row>260</xdr:row>
      <xdr:rowOff>0</xdr:rowOff>
    </xdr:from>
    <xdr:ext cx="3905250" cy="2743200"/>
    <xdr:sp macro="" fLocksText="0" textlink="">
      <xdr:nvSpPr>
        <xdr:cNvPr id="3113" name="Text Box 41"/>
        <xdr:cNvSpPr txBox="1">
          <a:spLocks noChangeArrowheads="1"/>
        </xdr:cNvSpPr>
      </xdr:nvSpPr>
      <xdr:spPr bwMode="auto">
        <a:xfrm>
          <a:off x="3810000" y="52835175"/>
          <a:ext cx="3905250" cy="27432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La valoración de un recurso hídrico se asocia a la cantidad de recurso (Iq</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y a su calidad (Ic</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Los indicadores de cantidad de recurso son: Iq</a:t>
          </a:r>
          <a:r>
            <a:rPr lang="es-ES" sz="800" b="0" i="0" u="none" strike="noStrike" baseline="-25000">
              <a:solidFill>
                <a:srgbClr val="000000"/>
              </a:solidFill>
              <a:latin typeface="Arial"/>
              <a:cs typeface="Arial"/>
            </a:rPr>
            <a:t>invierno</a:t>
          </a:r>
          <a:r>
            <a:rPr lang="es-ES" sz="800" b="0" i="0" u="none" strike="noStrike" baseline="0">
              <a:solidFill>
                <a:srgbClr val="000000"/>
              </a:solidFill>
              <a:latin typeface="Arial"/>
              <a:cs typeface="Arial"/>
            </a:rPr>
            <a:t>, Iq</a:t>
          </a:r>
          <a:r>
            <a:rPr lang="es-ES" sz="800" b="0" i="0" u="none" strike="noStrike" baseline="-25000">
              <a:solidFill>
                <a:srgbClr val="000000"/>
              </a:solidFill>
              <a:latin typeface="Arial"/>
              <a:cs typeface="Arial"/>
            </a:rPr>
            <a:t>verano</a:t>
          </a:r>
          <a:r>
            <a:rPr lang="es-ES" sz="800" b="0" i="0" u="none" strike="noStrike" baseline="0">
              <a:solidFill>
                <a:srgbClr val="000000"/>
              </a:solidFill>
              <a:latin typeface="Arial"/>
              <a:cs typeface="Arial"/>
            </a:rPr>
            <a:t>, Iq</a:t>
          </a:r>
          <a:r>
            <a:rPr lang="es-ES" sz="800" b="0" i="0" u="none" strike="noStrike" baseline="-25000">
              <a:solidFill>
                <a:srgbClr val="000000"/>
              </a:solidFill>
              <a:latin typeface="Arial"/>
              <a:cs typeface="Arial"/>
            </a:rPr>
            <a:t>primavera</a:t>
          </a:r>
          <a:r>
            <a:rPr lang="es-ES" sz="800" b="0" i="0" u="none" strike="noStrike" baseline="0">
              <a:solidFill>
                <a:srgbClr val="000000"/>
              </a:solidFill>
              <a:latin typeface="Arial"/>
              <a:cs typeface="Arial"/>
            </a:rPr>
            <a:t>, Iq</a:t>
          </a:r>
          <a:r>
            <a:rPr lang="es-ES" sz="800" b="0" i="0" u="none" strike="noStrike" baseline="-25000">
              <a:solidFill>
                <a:srgbClr val="000000"/>
              </a:solidFill>
              <a:latin typeface="Arial"/>
              <a:cs typeface="Arial"/>
            </a:rPr>
            <a:t>otoño</a:t>
          </a:r>
          <a:r>
            <a:rPr lang="es-ES" sz="800" b="0" i="0" u="none" strike="noStrike" baseline="0">
              <a:solidFill>
                <a:srgbClr val="000000"/>
              </a:solidFill>
              <a:latin typeface="Arial"/>
              <a:cs typeface="Arial"/>
            </a:rPr>
            <a:t>. Hay 36 indicadores de calidad, Ic (que son los indicadores 89 a 124). El índice que sintetiza calidad y cantidad es: </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I</a:t>
          </a:r>
          <a:r>
            <a:rPr lang="es-ES" sz="800" b="0" i="0" u="none" strike="noStrike" baseline="-25000">
              <a:solidFill>
                <a:srgbClr val="000000"/>
              </a:solidFill>
              <a:latin typeface="Arial"/>
              <a:cs typeface="Arial"/>
            </a:rPr>
            <a:t>calidad del agua potable</a:t>
          </a:r>
          <a:r>
            <a:rPr lang="es-ES" sz="800" b="0" i="0" u="none" strike="noStrike" baseline="0">
              <a:solidFill>
                <a:srgbClr val="000000"/>
              </a:solidFill>
              <a:latin typeface="Arial"/>
              <a:cs typeface="Arial"/>
            </a:rPr>
            <a:t> =   </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con Iq</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 f (Caudal</a:t>
          </a:r>
          <a:r>
            <a:rPr lang="es-ES" sz="800" b="0" i="0" u="none" strike="noStrike" baseline="-25000">
              <a:solidFill>
                <a:srgbClr val="000000"/>
              </a:solidFill>
              <a:latin typeface="Arial"/>
              <a:cs typeface="Arial"/>
            </a:rPr>
            <a:t>i</a:t>
          </a:r>
          <a:r>
            <a:rPr lang="es-ES" sz="800" b="0" i="0" u="none" strike="noStrike" baseline="0">
              <a:solidFill>
                <a:srgbClr val="000000"/>
              </a:solidFill>
              <a:latin typeface="Arial"/>
              <a:cs typeface="Arial"/>
            </a:rPr>
            <a:t> / Caudal</a:t>
          </a:r>
          <a:r>
            <a:rPr lang="es-ES" sz="800" b="0" i="0" u="none" strike="noStrike" baseline="-25000">
              <a:solidFill>
                <a:srgbClr val="000000"/>
              </a:solidFill>
              <a:latin typeface="Arial"/>
              <a:cs typeface="Arial"/>
            </a:rPr>
            <a:t>medio</a:t>
          </a:r>
          <a:r>
            <a:rPr lang="es-ES" sz="800" b="0" i="0" u="none" strike="noStrike" baseline="0">
              <a:solidFill>
                <a:srgbClr val="000000"/>
              </a:solidFill>
              <a:latin typeface="Arial"/>
              <a:cs typeface="Arial"/>
            </a:rPr>
            <a:t>)</a:t>
          </a:r>
        </a:p>
        <a:p>
          <a:pPr algn="l" rtl="0">
            <a:defRPr sz="1000"/>
          </a:pPr>
          <a:endParaRPr lang="es-ES" sz="800" b="1" i="0" u="none" strike="noStrike" baseline="0">
            <a:solidFill>
              <a:srgbClr val="000000"/>
            </a:solidFill>
            <a:latin typeface="Arial"/>
            <a:cs typeface="Arial"/>
          </a:endParaRPr>
        </a:p>
        <a:p>
          <a:pPr algn="l" rtl="0">
            <a:defRPr sz="1000"/>
          </a:pPr>
          <a:endParaRPr lang="es-ES" sz="800" b="1" i="0" u="none" strike="noStrike" baseline="0">
            <a:solidFill>
              <a:srgbClr val="000000"/>
            </a:solidFill>
            <a:latin typeface="Arial"/>
            <a:cs typeface="Arial"/>
          </a:endParaRPr>
        </a:p>
      </xdr:txBody>
    </xdr:sp>
    <xdr:clientData/>
  </xdr:oneCellAnchor>
  <xdr:twoCellAnchor editAs="oneCell">
    <xdr:from>
      <xdr:col>2</xdr:col>
      <xdr:colOff>1047750</xdr:colOff>
      <xdr:row>273</xdr:row>
      <xdr:rowOff>57150</xdr:rowOff>
    </xdr:from>
    <xdr:to>
      <xdr:col>3</xdr:col>
      <xdr:colOff>1123950</xdr:colOff>
      <xdr:row>275</xdr:row>
      <xdr:rowOff>104775</xdr:rowOff>
    </xdr:to>
    <xdr:pic>
      <xdr:nvPicPr>
        <xdr:cNvPr id="3114" name="Picture 42"/>
        <xdr:cNvPicPr preferRelativeResize="1">
          <a:picLocks noChangeAspect="1"/>
        </xdr:cNvPicPr>
      </xdr:nvPicPr>
      <xdr:blipFill>
        <a:blip r:embed="rId12"/>
        <a:stretch>
          <a:fillRect/>
        </a:stretch>
      </xdr:blipFill>
      <xdr:spPr bwMode="auto">
        <a:xfrm>
          <a:off x="4857750" y="54997350"/>
          <a:ext cx="1381125" cy="371475"/>
        </a:xfrm>
        <a:prstGeom prst="rect">
          <a:avLst/>
        </a:prstGeom>
        <a:noFill/>
        <a:ln>
          <a:noFill/>
        </a:ln>
      </xdr:spPr>
    </xdr:pic>
    <xdr:clientData/>
  </xdr:twoCellAnchor>
  <xdr:twoCellAnchor>
    <xdr:from>
      <xdr:col>2</xdr:col>
      <xdr:colOff>0</xdr:colOff>
      <xdr:row>286</xdr:row>
      <xdr:rowOff>0</xdr:rowOff>
    </xdr:from>
    <xdr:to>
      <xdr:col>5</xdr:col>
      <xdr:colOff>0</xdr:colOff>
      <xdr:row>299</xdr:row>
      <xdr:rowOff>0</xdr:rowOff>
    </xdr:to>
    <xdr:graphicFrame macro="">
      <xdr:nvGraphicFramePr>
        <xdr:cNvPr id="3115" name="Chart 43"/>
        <xdr:cNvGraphicFramePr/>
      </xdr:nvGraphicFramePr>
      <xdr:xfrm>
        <a:off x="3810000" y="58578750"/>
        <a:ext cx="3914775" cy="2105025"/>
      </xdr:xfrm>
      <a:graphic>
        <a:graphicData uri="http://schemas.openxmlformats.org/drawingml/2006/chart">
          <c:chart xmlns:c="http://schemas.openxmlformats.org/drawingml/2006/chart" r:id="rId15"/>
        </a:graphicData>
      </a:graphic>
    </xdr:graphicFrame>
    <xdr:clientData/>
  </xdr:twoCellAnchor>
  <xdr:twoCellAnchor>
    <xdr:from>
      <xdr:col>2</xdr:col>
      <xdr:colOff>0</xdr:colOff>
      <xdr:row>299</xdr:row>
      <xdr:rowOff>0</xdr:rowOff>
    </xdr:from>
    <xdr:to>
      <xdr:col>5</xdr:col>
      <xdr:colOff>0</xdr:colOff>
      <xdr:row>313</xdr:row>
      <xdr:rowOff>0</xdr:rowOff>
    </xdr:to>
    <xdr:sp macro="" fLocksText="0" textlink="">
      <xdr:nvSpPr>
        <xdr:cNvPr id="3117" name="Text Box 45"/>
        <xdr:cNvSpPr txBox="1">
          <a:spLocks noChangeArrowheads="1"/>
        </xdr:cNvSpPr>
      </xdr:nvSpPr>
      <xdr:spPr bwMode="auto">
        <a:xfrm>
          <a:off x="3810000" y="60683775"/>
          <a:ext cx="3914775" cy="226695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La unidad de color adoptada internacionalmente es la equivalente a una solución de cloroplatinato de sodio que contenga 1,0 mgPt l</a:t>
          </a:r>
          <a:r>
            <a:rPr lang="es-ES" sz="800" b="0" i="0" u="none" strike="noStrike" baseline="30000">
              <a:solidFill>
                <a:srgbClr val="000000"/>
              </a:solidFill>
              <a:latin typeface="Arial"/>
              <a:cs typeface="Arial"/>
            </a:rPr>
            <a:t>-1</a:t>
          </a:r>
          <a:r>
            <a:rPr lang="es-ES" sz="800" b="0" i="0" u="none" strike="noStrike" baseline="0">
              <a:solidFill>
                <a:srgbClr val="000000"/>
              </a:solidFill>
              <a:latin typeface="Arial"/>
              <a:cs typeface="Arial"/>
            </a:rPr>
            <a:t>. La escala para la medición directa se conoce como </a:t>
          </a:r>
          <a:r>
            <a:rPr lang="es-ES" sz="800" b="0" i="0" u="sng" strike="noStrike" baseline="0">
              <a:solidFill>
                <a:srgbClr val="000000"/>
              </a:solidFill>
              <a:latin typeface="Arial"/>
              <a:cs typeface="Arial"/>
            </a:rPr>
            <a:t>"escala de Hazen"</a:t>
          </a:r>
          <a:r>
            <a:rPr lang="es-ES" sz="800" b="0" i="0" u="none" strike="noStrike" baseline="0">
              <a:solidFill>
                <a:srgbClr val="000000"/>
              </a:solidFill>
              <a:latin typeface="Arial"/>
              <a:cs typeface="Arial"/>
            </a:rPr>
            <a:t> y se expresa en términos de unidades Pt/Co, debido a que a las soluciones de Pt, generalmente se les adiciona una pequeña cantidad de Co para intensificar el color y el brillo.</a:t>
          </a:r>
        </a:p>
      </xdr:txBody>
    </xdr:sp>
    <xdr:clientData/>
  </xdr:twoCellAnchor>
  <xdr:twoCellAnchor>
    <xdr:from>
      <xdr:col>2</xdr:col>
      <xdr:colOff>0</xdr:colOff>
      <xdr:row>322</xdr:row>
      <xdr:rowOff>0</xdr:rowOff>
    </xdr:from>
    <xdr:to>
      <xdr:col>5</xdr:col>
      <xdr:colOff>0</xdr:colOff>
      <xdr:row>335</xdr:row>
      <xdr:rowOff>0</xdr:rowOff>
    </xdr:to>
    <xdr:graphicFrame macro="">
      <xdr:nvGraphicFramePr>
        <xdr:cNvPr id="3119" name="Chart 47"/>
        <xdr:cNvGraphicFramePr/>
      </xdr:nvGraphicFramePr>
      <xdr:xfrm>
        <a:off x="3810000" y="65941575"/>
        <a:ext cx="3914775" cy="2105025"/>
      </xdr:xfrm>
      <a:graphic>
        <a:graphicData uri="http://schemas.openxmlformats.org/drawingml/2006/chart">
          <c:chart xmlns:c="http://schemas.openxmlformats.org/drawingml/2006/chart" r:id="rId16"/>
        </a:graphicData>
      </a:graphic>
    </xdr:graphicFrame>
    <xdr:clientData/>
  </xdr:twoCellAnchor>
  <xdr:oneCellAnchor>
    <xdr:from>
      <xdr:col>2</xdr:col>
      <xdr:colOff>0</xdr:colOff>
      <xdr:row>335</xdr:row>
      <xdr:rowOff>0</xdr:rowOff>
    </xdr:from>
    <xdr:ext cx="3914775" cy="1295400"/>
    <xdr:sp macro="" fLocksText="0" textlink="">
      <xdr:nvSpPr>
        <xdr:cNvPr id="3120" name="Text Box 48"/>
        <xdr:cNvSpPr txBox="1">
          <a:spLocks noChangeArrowheads="1"/>
        </xdr:cNvSpPr>
      </xdr:nvSpPr>
      <xdr:spPr bwMode="auto">
        <a:xfrm>
          <a:off x="3810000" y="6804660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352</xdr:row>
      <xdr:rowOff>0</xdr:rowOff>
    </xdr:from>
    <xdr:to>
      <xdr:col>4</xdr:col>
      <xdr:colOff>1295400</xdr:colOff>
      <xdr:row>365</xdr:row>
      <xdr:rowOff>0</xdr:rowOff>
    </xdr:to>
    <xdr:graphicFrame macro="">
      <xdr:nvGraphicFramePr>
        <xdr:cNvPr id="3121" name="Chart 49"/>
        <xdr:cNvGraphicFramePr/>
      </xdr:nvGraphicFramePr>
      <xdr:xfrm>
        <a:off x="3810000" y="72332850"/>
        <a:ext cx="3905250" cy="2105025"/>
      </xdr:xfrm>
      <a:graphic>
        <a:graphicData uri="http://schemas.openxmlformats.org/drawingml/2006/chart">
          <c:chart xmlns:c="http://schemas.openxmlformats.org/drawingml/2006/chart" r:id="rId17"/>
        </a:graphicData>
      </a:graphic>
    </xdr:graphicFrame>
    <xdr:clientData/>
  </xdr:twoCellAnchor>
  <xdr:oneCellAnchor>
    <xdr:from>
      <xdr:col>2</xdr:col>
      <xdr:colOff>0</xdr:colOff>
      <xdr:row>365</xdr:row>
      <xdr:rowOff>0</xdr:rowOff>
    </xdr:from>
    <xdr:ext cx="3914775" cy="1295400"/>
    <xdr:sp macro="" fLocksText="0" textlink="">
      <xdr:nvSpPr>
        <xdr:cNvPr id="3122" name="Text Box 50"/>
        <xdr:cNvSpPr txBox="1">
          <a:spLocks noChangeArrowheads="1"/>
        </xdr:cNvSpPr>
      </xdr:nvSpPr>
      <xdr:spPr bwMode="auto">
        <a:xfrm>
          <a:off x="3810000" y="7443787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382</xdr:row>
      <xdr:rowOff>0</xdr:rowOff>
    </xdr:from>
    <xdr:to>
      <xdr:col>5</xdr:col>
      <xdr:colOff>0</xdr:colOff>
      <xdr:row>395</xdr:row>
      <xdr:rowOff>0</xdr:rowOff>
    </xdr:to>
    <xdr:graphicFrame macro="">
      <xdr:nvGraphicFramePr>
        <xdr:cNvPr id="3123" name="Chart 51"/>
        <xdr:cNvGraphicFramePr/>
      </xdr:nvGraphicFramePr>
      <xdr:xfrm>
        <a:off x="3810000" y="78724125"/>
        <a:ext cx="3914775" cy="2105025"/>
      </xdr:xfrm>
      <a:graphic>
        <a:graphicData uri="http://schemas.openxmlformats.org/drawingml/2006/chart">
          <c:chart xmlns:c="http://schemas.openxmlformats.org/drawingml/2006/chart" r:id="rId18"/>
        </a:graphicData>
      </a:graphic>
    </xdr:graphicFrame>
    <xdr:clientData/>
  </xdr:twoCellAnchor>
  <xdr:oneCellAnchor>
    <xdr:from>
      <xdr:col>2</xdr:col>
      <xdr:colOff>0</xdr:colOff>
      <xdr:row>395</xdr:row>
      <xdr:rowOff>0</xdr:rowOff>
    </xdr:from>
    <xdr:ext cx="3914775" cy="1295400"/>
    <xdr:sp macro="" fLocksText="0" textlink="">
      <xdr:nvSpPr>
        <xdr:cNvPr id="3124" name="Text Box 52"/>
        <xdr:cNvSpPr txBox="1">
          <a:spLocks noChangeArrowheads="1"/>
        </xdr:cNvSpPr>
      </xdr:nvSpPr>
      <xdr:spPr bwMode="auto">
        <a:xfrm>
          <a:off x="3810000" y="8082915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412</xdr:row>
      <xdr:rowOff>0</xdr:rowOff>
    </xdr:from>
    <xdr:to>
      <xdr:col>5</xdr:col>
      <xdr:colOff>0</xdr:colOff>
      <xdr:row>425</xdr:row>
      <xdr:rowOff>0</xdr:rowOff>
    </xdr:to>
    <xdr:graphicFrame macro="">
      <xdr:nvGraphicFramePr>
        <xdr:cNvPr id="3125" name="Chart 53"/>
        <xdr:cNvGraphicFramePr/>
      </xdr:nvGraphicFramePr>
      <xdr:xfrm>
        <a:off x="3810000" y="85115400"/>
        <a:ext cx="3914775" cy="2105025"/>
      </xdr:xfrm>
      <a:graphic>
        <a:graphicData uri="http://schemas.openxmlformats.org/drawingml/2006/chart">
          <c:chart xmlns:c="http://schemas.openxmlformats.org/drawingml/2006/chart" r:id="rId19"/>
        </a:graphicData>
      </a:graphic>
    </xdr:graphicFrame>
    <xdr:clientData/>
  </xdr:twoCellAnchor>
  <xdr:oneCellAnchor>
    <xdr:from>
      <xdr:col>2</xdr:col>
      <xdr:colOff>0</xdr:colOff>
      <xdr:row>425</xdr:row>
      <xdr:rowOff>0</xdr:rowOff>
    </xdr:from>
    <xdr:ext cx="3914775" cy="1295400"/>
    <xdr:sp macro="" fLocksText="0" textlink="">
      <xdr:nvSpPr>
        <xdr:cNvPr id="3126" name="Text Box 54"/>
        <xdr:cNvSpPr txBox="1">
          <a:spLocks noChangeArrowheads="1"/>
        </xdr:cNvSpPr>
      </xdr:nvSpPr>
      <xdr:spPr bwMode="auto">
        <a:xfrm>
          <a:off x="3810000" y="8722042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442</xdr:row>
      <xdr:rowOff>0</xdr:rowOff>
    </xdr:from>
    <xdr:to>
      <xdr:col>4</xdr:col>
      <xdr:colOff>1295400</xdr:colOff>
      <xdr:row>455</xdr:row>
      <xdr:rowOff>9525</xdr:rowOff>
    </xdr:to>
    <xdr:graphicFrame macro="">
      <xdr:nvGraphicFramePr>
        <xdr:cNvPr id="3127" name="Chart 55"/>
        <xdr:cNvGraphicFramePr/>
      </xdr:nvGraphicFramePr>
      <xdr:xfrm>
        <a:off x="3810000" y="91506675"/>
        <a:ext cx="3905250" cy="2114550"/>
      </xdr:xfrm>
      <a:graphic>
        <a:graphicData uri="http://schemas.openxmlformats.org/drawingml/2006/chart">
          <c:chart xmlns:c="http://schemas.openxmlformats.org/drawingml/2006/chart" r:id="rId20"/>
        </a:graphicData>
      </a:graphic>
    </xdr:graphicFrame>
    <xdr:clientData/>
  </xdr:twoCellAnchor>
  <xdr:oneCellAnchor>
    <xdr:from>
      <xdr:col>2</xdr:col>
      <xdr:colOff>0</xdr:colOff>
      <xdr:row>455</xdr:row>
      <xdr:rowOff>0</xdr:rowOff>
    </xdr:from>
    <xdr:ext cx="3914775" cy="1295400"/>
    <xdr:sp macro="" fLocksText="0" textlink="">
      <xdr:nvSpPr>
        <xdr:cNvPr id="3128" name="Text Box 56"/>
        <xdr:cNvSpPr txBox="1">
          <a:spLocks noChangeArrowheads="1"/>
        </xdr:cNvSpPr>
      </xdr:nvSpPr>
      <xdr:spPr bwMode="auto">
        <a:xfrm>
          <a:off x="3810000" y="9361170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472</xdr:row>
      <xdr:rowOff>0</xdr:rowOff>
    </xdr:from>
    <xdr:to>
      <xdr:col>5</xdr:col>
      <xdr:colOff>0</xdr:colOff>
      <xdr:row>485</xdr:row>
      <xdr:rowOff>19050</xdr:rowOff>
    </xdr:to>
    <xdr:graphicFrame macro="">
      <xdr:nvGraphicFramePr>
        <xdr:cNvPr id="3129" name="Chart 57"/>
        <xdr:cNvGraphicFramePr/>
      </xdr:nvGraphicFramePr>
      <xdr:xfrm>
        <a:off x="3810000" y="97897950"/>
        <a:ext cx="3914775" cy="2124075"/>
      </xdr:xfrm>
      <a:graphic>
        <a:graphicData uri="http://schemas.openxmlformats.org/drawingml/2006/chart">
          <c:chart xmlns:c="http://schemas.openxmlformats.org/drawingml/2006/chart" r:id="rId21"/>
        </a:graphicData>
      </a:graphic>
    </xdr:graphicFrame>
    <xdr:clientData/>
  </xdr:twoCellAnchor>
  <xdr:oneCellAnchor>
    <xdr:from>
      <xdr:col>2</xdr:col>
      <xdr:colOff>0</xdr:colOff>
      <xdr:row>485</xdr:row>
      <xdr:rowOff>0</xdr:rowOff>
    </xdr:from>
    <xdr:ext cx="3914775" cy="1295400"/>
    <xdr:sp macro="" fLocksText="0" textlink="">
      <xdr:nvSpPr>
        <xdr:cNvPr id="3130" name="Text Box 58"/>
        <xdr:cNvSpPr txBox="1">
          <a:spLocks noChangeArrowheads="1"/>
        </xdr:cNvSpPr>
      </xdr:nvSpPr>
      <xdr:spPr bwMode="auto">
        <a:xfrm>
          <a:off x="3810000" y="10000297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502</xdr:row>
      <xdr:rowOff>0</xdr:rowOff>
    </xdr:from>
    <xdr:to>
      <xdr:col>5</xdr:col>
      <xdr:colOff>0</xdr:colOff>
      <xdr:row>515</xdr:row>
      <xdr:rowOff>19050</xdr:rowOff>
    </xdr:to>
    <xdr:graphicFrame macro="">
      <xdr:nvGraphicFramePr>
        <xdr:cNvPr id="3131" name="Chart 59"/>
        <xdr:cNvGraphicFramePr/>
      </xdr:nvGraphicFramePr>
      <xdr:xfrm>
        <a:off x="3810000" y="104289225"/>
        <a:ext cx="3914775" cy="2124075"/>
      </xdr:xfrm>
      <a:graphic>
        <a:graphicData uri="http://schemas.openxmlformats.org/drawingml/2006/chart">
          <c:chart xmlns:c="http://schemas.openxmlformats.org/drawingml/2006/chart" r:id="rId22"/>
        </a:graphicData>
      </a:graphic>
    </xdr:graphicFrame>
    <xdr:clientData/>
  </xdr:twoCellAnchor>
  <xdr:oneCellAnchor>
    <xdr:from>
      <xdr:col>2</xdr:col>
      <xdr:colOff>0</xdr:colOff>
      <xdr:row>515</xdr:row>
      <xdr:rowOff>0</xdr:rowOff>
    </xdr:from>
    <xdr:ext cx="3914775" cy="1295400"/>
    <xdr:sp macro="" fLocksText="0" textlink="">
      <xdr:nvSpPr>
        <xdr:cNvPr id="3132" name="Text Box 60"/>
        <xdr:cNvSpPr txBox="1">
          <a:spLocks noChangeArrowheads="1"/>
        </xdr:cNvSpPr>
      </xdr:nvSpPr>
      <xdr:spPr bwMode="auto">
        <a:xfrm>
          <a:off x="3810000" y="10639425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532</xdr:row>
      <xdr:rowOff>0</xdr:rowOff>
    </xdr:from>
    <xdr:to>
      <xdr:col>5</xdr:col>
      <xdr:colOff>0</xdr:colOff>
      <xdr:row>545</xdr:row>
      <xdr:rowOff>19050</xdr:rowOff>
    </xdr:to>
    <xdr:graphicFrame macro="">
      <xdr:nvGraphicFramePr>
        <xdr:cNvPr id="3133" name="Chart 61"/>
        <xdr:cNvGraphicFramePr/>
      </xdr:nvGraphicFramePr>
      <xdr:xfrm>
        <a:off x="3810000" y="110680500"/>
        <a:ext cx="3914775" cy="2124075"/>
      </xdr:xfrm>
      <a:graphic>
        <a:graphicData uri="http://schemas.openxmlformats.org/drawingml/2006/chart">
          <c:chart xmlns:c="http://schemas.openxmlformats.org/drawingml/2006/chart" r:id="rId23"/>
        </a:graphicData>
      </a:graphic>
    </xdr:graphicFrame>
    <xdr:clientData/>
  </xdr:twoCellAnchor>
  <xdr:oneCellAnchor>
    <xdr:from>
      <xdr:col>2</xdr:col>
      <xdr:colOff>0</xdr:colOff>
      <xdr:row>545</xdr:row>
      <xdr:rowOff>0</xdr:rowOff>
    </xdr:from>
    <xdr:ext cx="3914775" cy="1295400"/>
    <xdr:sp macro="" fLocksText="0" textlink="">
      <xdr:nvSpPr>
        <xdr:cNvPr id="3134" name="Text Box 62"/>
        <xdr:cNvSpPr txBox="1">
          <a:spLocks noChangeArrowheads="1"/>
        </xdr:cNvSpPr>
      </xdr:nvSpPr>
      <xdr:spPr bwMode="auto">
        <a:xfrm>
          <a:off x="3810000" y="11278552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562</xdr:row>
      <xdr:rowOff>0</xdr:rowOff>
    </xdr:from>
    <xdr:to>
      <xdr:col>5</xdr:col>
      <xdr:colOff>0</xdr:colOff>
      <xdr:row>575</xdr:row>
      <xdr:rowOff>19050</xdr:rowOff>
    </xdr:to>
    <xdr:graphicFrame macro="">
      <xdr:nvGraphicFramePr>
        <xdr:cNvPr id="3135" name="Chart 63"/>
        <xdr:cNvGraphicFramePr/>
      </xdr:nvGraphicFramePr>
      <xdr:xfrm>
        <a:off x="3810000" y="117071775"/>
        <a:ext cx="3914775" cy="2124075"/>
      </xdr:xfrm>
      <a:graphic>
        <a:graphicData uri="http://schemas.openxmlformats.org/drawingml/2006/chart">
          <c:chart xmlns:c="http://schemas.openxmlformats.org/drawingml/2006/chart" r:id="rId24"/>
        </a:graphicData>
      </a:graphic>
    </xdr:graphicFrame>
    <xdr:clientData/>
  </xdr:twoCellAnchor>
  <xdr:oneCellAnchor>
    <xdr:from>
      <xdr:col>2</xdr:col>
      <xdr:colOff>0</xdr:colOff>
      <xdr:row>575</xdr:row>
      <xdr:rowOff>0</xdr:rowOff>
    </xdr:from>
    <xdr:ext cx="3914775" cy="1295400"/>
    <xdr:sp macro="" fLocksText="0" textlink="">
      <xdr:nvSpPr>
        <xdr:cNvPr id="3136" name="Text Box 64"/>
        <xdr:cNvSpPr txBox="1">
          <a:spLocks noChangeArrowheads="1"/>
        </xdr:cNvSpPr>
      </xdr:nvSpPr>
      <xdr:spPr bwMode="auto">
        <a:xfrm>
          <a:off x="3810000" y="11917680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592</xdr:row>
      <xdr:rowOff>0</xdr:rowOff>
    </xdr:from>
    <xdr:to>
      <xdr:col>5</xdr:col>
      <xdr:colOff>0</xdr:colOff>
      <xdr:row>605</xdr:row>
      <xdr:rowOff>19050</xdr:rowOff>
    </xdr:to>
    <xdr:graphicFrame macro="">
      <xdr:nvGraphicFramePr>
        <xdr:cNvPr id="3138" name="Chart 66"/>
        <xdr:cNvGraphicFramePr/>
      </xdr:nvGraphicFramePr>
      <xdr:xfrm>
        <a:off x="3810000" y="123463050"/>
        <a:ext cx="3914775" cy="2124075"/>
      </xdr:xfrm>
      <a:graphic>
        <a:graphicData uri="http://schemas.openxmlformats.org/drawingml/2006/chart">
          <c:chart xmlns:c="http://schemas.openxmlformats.org/drawingml/2006/chart" r:id="rId25"/>
        </a:graphicData>
      </a:graphic>
    </xdr:graphicFrame>
    <xdr:clientData/>
  </xdr:twoCellAnchor>
  <xdr:oneCellAnchor>
    <xdr:from>
      <xdr:col>2</xdr:col>
      <xdr:colOff>0</xdr:colOff>
      <xdr:row>605</xdr:row>
      <xdr:rowOff>0</xdr:rowOff>
    </xdr:from>
    <xdr:ext cx="3914775" cy="1295400"/>
    <xdr:sp macro="" fLocksText="0" textlink="">
      <xdr:nvSpPr>
        <xdr:cNvPr id="3139" name="Text Box 67"/>
        <xdr:cNvSpPr txBox="1">
          <a:spLocks noChangeArrowheads="1"/>
        </xdr:cNvSpPr>
      </xdr:nvSpPr>
      <xdr:spPr bwMode="auto">
        <a:xfrm>
          <a:off x="3810000" y="12556807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622</xdr:row>
      <xdr:rowOff>0</xdr:rowOff>
    </xdr:from>
    <xdr:to>
      <xdr:col>5</xdr:col>
      <xdr:colOff>0</xdr:colOff>
      <xdr:row>635</xdr:row>
      <xdr:rowOff>19050</xdr:rowOff>
    </xdr:to>
    <xdr:graphicFrame macro="">
      <xdr:nvGraphicFramePr>
        <xdr:cNvPr id="3140" name="Chart 68"/>
        <xdr:cNvGraphicFramePr/>
      </xdr:nvGraphicFramePr>
      <xdr:xfrm>
        <a:off x="3810000" y="129854325"/>
        <a:ext cx="3914775" cy="2124075"/>
      </xdr:xfrm>
      <a:graphic>
        <a:graphicData uri="http://schemas.openxmlformats.org/drawingml/2006/chart">
          <c:chart xmlns:c="http://schemas.openxmlformats.org/drawingml/2006/chart" r:id="rId26"/>
        </a:graphicData>
      </a:graphic>
    </xdr:graphicFrame>
    <xdr:clientData/>
  </xdr:twoCellAnchor>
  <xdr:oneCellAnchor>
    <xdr:from>
      <xdr:col>2</xdr:col>
      <xdr:colOff>0</xdr:colOff>
      <xdr:row>635</xdr:row>
      <xdr:rowOff>0</xdr:rowOff>
    </xdr:from>
    <xdr:ext cx="3914775" cy="1295400"/>
    <xdr:sp macro="" fLocksText="0" textlink="">
      <xdr:nvSpPr>
        <xdr:cNvPr id="3141" name="Text Box 69"/>
        <xdr:cNvSpPr txBox="1">
          <a:spLocks noChangeArrowheads="1"/>
        </xdr:cNvSpPr>
      </xdr:nvSpPr>
      <xdr:spPr bwMode="auto">
        <a:xfrm>
          <a:off x="3810000" y="13195935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652</xdr:row>
      <xdr:rowOff>0</xdr:rowOff>
    </xdr:from>
    <xdr:to>
      <xdr:col>5</xdr:col>
      <xdr:colOff>0</xdr:colOff>
      <xdr:row>665</xdr:row>
      <xdr:rowOff>19050</xdr:rowOff>
    </xdr:to>
    <xdr:graphicFrame macro="">
      <xdr:nvGraphicFramePr>
        <xdr:cNvPr id="3142" name="Chart 70"/>
        <xdr:cNvGraphicFramePr/>
      </xdr:nvGraphicFramePr>
      <xdr:xfrm>
        <a:off x="3810000" y="136245600"/>
        <a:ext cx="3914775" cy="2124075"/>
      </xdr:xfrm>
      <a:graphic>
        <a:graphicData uri="http://schemas.openxmlformats.org/drawingml/2006/chart">
          <c:chart xmlns:c="http://schemas.openxmlformats.org/drawingml/2006/chart" r:id="rId27"/>
        </a:graphicData>
      </a:graphic>
    </xdr:graphicFrame>
    <xdr:clientData/>
  </xdr:twoCellAnchor>
  <xdr:oneCellAnchor>
    <xdr:from>
      <xdr:col>2</xdr:col>
      <xdr:colOff>0</xdr:colOff>
      <xdr:row>665</xdr:row>
      <xdr:rowOff>0</xdr:rowOff>
    </xdr:from>
    <xdr:ext cx="3914775" cy="1295400"/>
    <xdr:sp macro="" fLocksText="0" textlink="">
      <xdr:nvSpPr>
        <xdr:cNvPr id="3143" name="Text Box 71"/>
        <xdr:cNvSpPr txBox="1">
          <a:spLocks noChangeArrowheads="1"/>
        </xdr:cNvSpPr>
      </xdr:nvSpPr>
      <xdr:spPr bwMode="auto">
        <a:xfrm>
          <a:off x="3810000" y="13835062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682</xdr:row>
      <xdr:rowOff>0</xdr:rowOff>
    </xdr:from>
    <xdr:to>
      <xdr:col>5</xdr:col>
      <xdr:colOff>0</xdr:colOff>
      <xdr:row>695</xdr:row>
      <xdr:rowOff>19050</xdr:rowOff>
    </xdr:to>
    <xdr:graphicFrame macro="">
      <xdr:nvGraphicFramePr>
        <xdr:cNvPr id="3144" name="Chart 72"/>
        <xdr:cNvGraphicFramePr/>
      </xdr:nvGraphicFramePr>
      <xdr:xfrm>
        <a:off x="3810000" y="142636875"/>
        <a:ext cx="3914775" cy="2124075"/>
      </xdr:xfrm>
      <a:graphic>
        <a:graphicData uri="http://schemas.openxmlformats.org/drawingml/2006/chart">
          <c:chart xmlns:c="http://schemas.openxmlformats.org/drawingml/2006/chart" r:id="rId28"/>
        </a:graphicData>
      </a:graphic>
    </xdr:graphicFrame>
    <xdr:clientData/>
  </xdr:twoCellAnchor>
  <xdr:oneCellAnchor>
    <xdr:from>
      <xdr:col>2</xdr:col>
      <xdr:colOff>0</xdr:colOff>
      <xdr:row>695</xdr:row>
      <xdr:rowOff>0</xdr:rowOff>
    </xdr:from>
    <xdr:ext cx="3914775" cy="1295400"/>
    <xdr:sp macro="" fLocksText="0" textlink="">
      <xdr:nvSpPr>
        <xdr:cNvPr id="3145" name="Text Box 73"/>
        <xdr:cNvSpPr txBox="1">
          <a:spLocks noChangeArrowheads="1"/>
        </xdr:cNvSpPr>
      </xdr:nvSpPr>
      <xdr:spPr bwMode="auto">
        <a:xfrm>
          <a:off x="3810000" y="14474190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712</xdr:row>
      <xdr:rowOff>0</xdr:rowOff>
    </xdr:from>
    <xdr:to>
      <xdr:col>5</xdr:col>
      <xdr:colOff>0</xdr:colOff>
      <xdr:row>725</xdr:row>
      <xdr:rowOff>19050</xdr:rowOff>
    </xdr:to>
    <xdr:graphicFrame macro="">
      <xdr:nvGraphicFramePr>
        <xdr:cNvPr id="3146" name="Chart 74"/>
        <xdr:cNvGraphicFramePr/>
      </xdr:nvGraphicFramePr>
      <xdr:xfrm>
        <a:off x="3810000" y="149028150"/>
        <a:ext cx="3914775" cy="2124075"/>
      </xdr:xfrm>
      <a:graphic>
        <a:graphicData uri="http://schemas.openxmlformats.org/drawingml/2006/chart">
          <c:chart xmlns:c="http://schemas.openxmlformats.org/drawingml/2006/chart" r:id="rId29"/>
        </a:graphicData>
      </a:graphic>
    </xdr:graphicFrame>
    <xdr:clientData/>
  </xdr:twoCellAnchor>
  <xdr:oneCellAnchor>
    <xdr:from>
      <xdr:col>2</xdr:col>
      <xdr:colOff>0</xdr:colOff>
      <xdr:row>725</xdr:row>
      <xdr:rowOff>0</xdr:rowOff>
    </xdr:from>
    <xdr:ext cx="3914775" cy="1295400"/>
    <xdr:sp macro="" fLocksText="0" textlink="">
      <xdr:nvSpPr>
        <xdr:cNvPr id="3147" name="Text Box 75"/>
        <xdr:cNvSpPr txBox="1">
          <a:spLocks noChangeArrowheads="1"/>
        </xdr:cNvSpPr>
      </xdr:nvSpPr>
      <xdr:spPr bwMode="auto">
        <a:xfrm>
          <a:off x="3810000" y="15113317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742</xdr:row>
      <xdr:rowOff>0</xdr:rowOff>
    </xdr:from>
    <xdr:to>
      <xdr:col>5</xdr:col>
      <xdr:colOff>0</xdr:colOff>
      <xdr:row>755</xdr:row>
      <xdr:rowOff>19050</xdr:rowOff>
    </xdr:to>
    <xdr:graphicFrame macro="">
      <xdr:nvGraphicFramePr>
        <xdr:cNvPr id="3148" name="Chart 76"/>
        <xdr:cNvGraphicFramePr/>
      </xdr:nvGraphicFramePr>
      <xdr:xfrm>
        <a:off x="3810000" y="155419425"/>
        <a:ext cx="3914775" cy="2124075"/>
      </xdr:xfrm>
      <a:graphic>
        <a:graphicData uri="http://schemas.openxmlformats.org/drawingml/2006/chart">
          <c:chart xmlns:c="http://schemas.openxmlformats.org/drawingml/2006/chart" r:id="rId30"/>
        </a:graphicData>
      </a:graphic>
    </xdr:graphicFrame>
    <xdr:clientData/>
  </xdr:twoCellAnchor>
  <xdr:oneCellAnchor>
    <xdr:from>
      <xdr:col>2</xdr:col>
      <xdr:colOff>0</xdr:colOff>
      <xdr:row>755</xdr:row>
      <xdr:rowOff>0</xdr:rowOff>
    </xdr:from>
    <xdr:ext cx="3914775" cy="1295400"/>
    <xdr:sp macro="" fLocksText="0" textlink="">
      <xdr:nvSpPr>
        <xdr:cNvPr id="3149" name="Text Box 77"/>
        <xdr:cNvSpPr txBox="1">
          <a:spLocks noChangeArrowheads="1"/>
        </xdr:cNvSpPr>
      </xdr:nvSpPr>
      <xdr:spPr bwMode="auto">
        <a:xfrm>
          <a:off x="3810000" y="15752445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772</xdr:row>
      <xdr:rowOff>0</xdr:rowOff>
    </xdr:from>
    <xdr:to>
      <xdr:col>5</xdr:col>
      <xdr:colOff>0</xdr:colOff>
      <xdr:row>785</xdr:row>
      <xdr:rowOff>19050</xdr:rowOff>
    </xdr:to>
    <xdr:graphicFrame macro="">
      <xdr:nvGraphicFramePr>
        <xdr:cNvPr id="3150" name="Chart 78"/>
        <xdr:cNvGraphicFramePr/>
      </xdr:nvGraphicFramePr>
      <xdr:xfrm>
        <a:off x="3810000" y="161810700"/>
        <a:ext cx="3914775" cy="2124075"/>
      </xdr:xfrm>
      <a:graphic>
        <a:graphicData uri="http://schemas.openxmlformats.org/drawingml/2006/chart">
          <c:chart xmlns:c="http://schemas.openxmlformats.org/drawingml/2006/chart" r:id="rId31"/>
        </a:graphicData>
      </a:graphic>
    </xdr:graphicFrame>
    <xdr:clientData/>
  </xdr:twoCellAnchor>
  <xdr:oneCellAnchor>
    <xdr:from>
      <xdr:col>2</xdr:col>
      <xdr:colOff>0</xdr:colOff>
      <xdr:row>785</xdr:row>
      <xdr:rowOff>0</xdr:rowOff>
    </xdr:from>
    <xdr:ext cx="3914775" cy="1295400"/>
    <xdr:sp macro="" fLocksText="0" textlink="">
      <xdr:nvSpPr>
        <xdr:cNvPr id="3151" name="Text Box 79"/>
        <xdr:cNvSpPr txBox="1">
          <a:spLocks noChangeArrowheads="1"/>
        </xdr:cNvSpPr>
      </xdr:nvSpPr>
      <xdr:spPr bwMode="auto">
        <a:xfrm>
          <a:off x="3810000" y="16391572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802</xdr:row>
      <xdr:rowOff>0</xdr:rowOff>
    </xdr:from>
    <xdr:to>
      <xdr:col>5</xdr:col>
      <xdr:colOff>0</xdr:colOff>
      <xdr:row>815</xdr:row>
      <xdr:rowOff>19050</xdr:rowOff>
    </xdr:to>
    <xdr:graphicFrame macro="">
      <xdr:nvGraphicFramePr>
        <xdr:cNvPr id="3152" name="Chart 80"/>
        <xdr:cNvGraphicFramePr/>
      </xdr:nvGraphicFramePr>
      <xdr:xfrm>
        <a:off x="3810000" y="168201975"/>
        <a:ext cx="3914775" cy="2124075"/>
      </xdr:xfrm>
      <a:graphic>
        <a:graphicData uri="http://schemas.openxmlformats.org/drawingml/2006/chart">
          <c:chart xmlns:c="http://schemas.openxmlformats.org/drawingml/2006/chart" r:id="rId32"/>
        </a:graphicData>
      </a:graphic>
    </xdr:graphicFrame>
    <xdr:clientData/>
  </xdr:twoCellAnchor>
  <xdr:oneCellAnchor>
    <xdr:from>
      <xdr:col>2</xdr:col>
      <xdr:colOff>0</xdr:colOff>
      <xdr:row>815</xdr:row>
      <xdr:rowOff>0</xdr:rowOff>
    </xdr:from>
    <xdr:ext cx="3914775" cy="1295400"/>
    <xdr:sp macro="" fLocksText="0" textlink="">
      <xdr:nvSpPr>
        <xdr:cNvPr id="3153" name="Text Box 81"/>
        <xdr:cNvSpPr txBox="1">
          <a:spLocks noChangeArrowheads="1"/>
        </xdr:cNvSpPr>
      </xdr:nvSpPr>
      <xdr:spPr bwMode="auto">
        <a:xfrm>
          <a:off x="3810000" y="17030700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832</xdr:row>
      <xdr:rowOff>0</xdr:rowOff>
    </xdr:from>
    <xdr:to>
      <xdr:col>5</xdr:col>
      <xdr:colOff>0</xdr:colOff>
      <xdr:row>845</xdr:row>
      <xdr:rowOff>19050</xdr:rowOff>
    </xdr:to>
    <xdr:graphicFrame macro="">
      <xdr:nvGraphicFramePr>
        <xdr:cNvPr id="3154" name="Chart 82"/>
        <xdr:cNvGraphicFramePr/>
      </xdr:nvGraphicFramePr>
      <xdr:xfrm>
        <a:off x="3810000" y="174593250"/>
        <a:ext cx="3914775" cy="2124075"/>
      </xdr:xfrm>
      <a:graphic>
        <a:graphicData uri="http://schemas.openxmlformats.org/drawingml/2006/chart">
          <c:chart xmlns:c="http://schemas.openxmlformats.org/drawingml/2006/chart" r:id="rId33"/>
        </a:graphicData>
      </a:graphic>
    </xdr:graphicFrame>
    <xdr:clientData/>
  </xdr:twoCellAnchor>
  <xdr:oneCellAnchor>
    <xdr:from>
      <xdr:col>2</xdr:col>
      <xdr:colOff>0</xdr:colOff>
      <xdr:row>845</xdr:row>
      <xdr:rowOff>0</xdr:rowOff>
    </xdr:from>
    <xdr:ext cx="3914775" cy="1295400"/>
    <xdr:sp macro="" fLocksText="0" textlink="">
      <xdr:nvSpPr>
        <xdr:cNvPr id="3155" name="Text Box 83"/>
        <xdr:cNvSpPr txBox="1">
          <a:spLocks noChangeArrowheads="1"/>
        </xdr:cNvSpPr>
      </xdr:nvSpPr>
      <xdr:spPr bwMode="auto">
        <a:xfrm>
          <a:off x="3810000" y="17669827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862</xdr:row>
      <xdr:rowOff>0</xdr:rowOff>
    </xdr:from>
    <xdr:to>
      <xdr:col>5</xdr:col>
      <xdr:colOff>0</xdr:colOff>
      <xdr:row>875</xdr:row>
      <xdr:rowOff>19050</xdr:rowOff>
    </xdr:to>
    <xdr:graphicFrame macro="">
      <xdr:nvGraphicFramePr>
        <xdr:cNvPr id="3156" name="Chart 84"/>
        <xdr:cNvGraphicFramePr/>
      </xdr:nvGraphicFramePr>
      <xdr:xfrm>
        <a:off x="3810000" y="180984525"/>
        <a:ext cx="3914775" cy="2124075"/>
      </xdr:xfrm>
      <a:graphic>
        <a:graphicData uri="http://schemas.openxmlformats.org/drawingml/2006/chart">
          <c:chart xmlns:c="http://schemas.openxmlformats.org/drawingml/2006/chart" r:id="rId34"/>
        </a:graphicData>
      </a:graphic>
    </xdr:graphicFrame>
    <xdr:clientData/>
  </xdr:twoCellAnchor>
  <xdr:oneCellAnchor>
    <xdr:from>
      <xdr:col>2</xdr:col>
      <xdr:colOff>0</xdr:colOff>
      <xdr:row>875</xdr:row>
      <xdr:rowOff>0</xdr:rowOff>
    </xdr:from>
    <xdr:ext cx="3914775" cy="1295400"/>
    <xdr:sp macro="" fLocksText="0" textlink="">
      <xdr:nvSpPr>
        <xdr:cNvPr id="3157" name="Text Box 85"/>
        <xdr:cNvSpPr txBox="1">
          <a:spLocks noChangeArrowheads="1"/>
        </xdr:cNvSpPr>
      </xdr:nvSpPr>
      <xdr:spPr bwMode="auto">
        <a:xfrm>
          <a:off x="3810000" y="18308955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892</xdr:row>
      <xdr:rowOff>0</xdr:rowOff>
    </xdr:from>
    <xdr:to>
      <xdr:col>5</xdr:col>
      <xdr:colOff>0</xdr:colOff>
      <xdr:row>905</xdr:row>
      <xdr:rowOff>19050</xdr:rowOff>
    </xdr:to>
    <xdr:graphicFrame macro="">
      <xdr:nvGraphicFramePr>
        <xdr:cNvPr id="3158" name="Chart 86"/>
        <xdr:cNvGraphicFramePr/>
      </xdr:nvGraphicFramePr>
      <xdr:xfrm>
        <a:off x="3810000" y="187375800"/>
        <a:ext cx="3914775" cy="2124075"/>
      </xdr:xfrm>
      <a:graphic>
        <a:graphicData uri="http://schemas.openxmlformats.org/drawingml/2006/chart">
          <c:chart xmlns:c="http://schemas.openxmlformats.org/drawingml/2006/chart" r:id="rId35"/>
        </a:graphicData>
      </a:graphic>
    </xdr:graphicFrame>
    <xdr:clientData/>
  </xdr:twoCellAnchor>
  <xdr:oneCellAnchor>
    <xdr:from>
      <xdr:col>2</xdr:col>
      <xdr:colOff>0</xdr:colOff>
      <xdr:row>905</xdr:row>
      <xdr:rowOff>0</xdr:rowOff>
    </xdr:from>
    <xdr:ext cx="3914775" cy="1295400"/>
    <xdr:sp macro="" fLocksText="0" textlink="">
      <xdr:nvSpPr>
        <xdr:cNvPr id="3159" name="Text Box 87"/>
        <xdr:cNvSpPr txBox="1">
          <a:spLocks noChangeArrowheads="1"/>
        </xdr:cNvSpPr>
      </xdr:nvSpPr>
      <xdr:spPr bwMode="auto">
        <a:xfrm>
          <a:off x="3810000" y="18948082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922</xdr:row>
      <xdr:rowOff>0</xdr:rowOff>
    </xdr:from>
    <xdr:to>
      <xdr:col>5</xdr:col>
      <xdr:colOff>0</xdr:colOff>
      <xdr:row>935</xdr:row>
      <xdr:rowOff>19050</xdr:rowOff>
    </xdr:to>
    <xdr:graphicFrame macro="">
      <xdr:nvGraphicFramePr>
        <xdr:cNvPr id="3160" name="Chart 88"/>
        <xdr:cNvGraphicFramePr/>
      </xdr:nvGraphicFramePr>
      <xdr:xfrm>
        <a:off x="3810000" y="193767075"/>
        <a:ext cx="3914775" cy="2124075"/>
      </xdr:xfrm>
      <a:graphic>
        <a:graphicData uri="http://schemas.openxmlformats.org/drawingml/2006/chart">
          <c:chart xmlns:c="http://schemas.openxmlformats.org/drawingml/2006/chart" r:id="rId36"/>
        </a:graphicData>
      </a:graphic>
    </xdr:graphicFrame>
    <xdr:clientData/>
  </xdr:twoCellAnchor>
  <xdr:oneCellAnchor>
    <xdr:from>
      <xdr:col>2</xdr:col>
      <xdr:colOff>0</xdr:colOff>
      <xdr:row>935</xdr:row>
      <xdr:rowOff>0</xdr:rowOff>
    </xdr:from>
    <xdr:ext cx="3914775" cy="1295400"/>
    <xdr:sp macro="" fLocksText="0" textlink="">
      <xdr:nvSpPr>
        <xdr:cNvPr id="3161" name="Text Box 89"/>
        <xdr:cNvSpPr txBox="1">
          <a:spLocks noChangeArrowheads="1"/>
        </xdr:cNvSpPr>
      </xdr:nvSpPr>
      <xdr:spPr bwMode="auto">
        <a:xfrm>
          <a:off x="3810000" y="19587210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952</xdr:row>
      <xdr:rowOff>0</xdr:rowOff>
    </xdr:from>
    <xdr:to>
      <xdr:col>5</xdr:col>
      <xdr:colOff>0</xdr:colOff>
      <xdr:row>965</xdr:row>
      <xdr:rowOff>19050</xdr:rowOff>
    </xdr:to>
    <xdr:graphicFrame macro="">
      <xdr:nvGraphicFramePr>
        <xdr:cNvPr id="3164" name="Chart 92"/>
        <xdr:cNvGraphicFramePr/>
      </xdr:nvGraphicFramePr>
      <xdr:xfrm>
        <a:off x="3810000" y="200158350"/>
        <a:ext cx="3914775" cy="2124075"/>
      </xdr:xfrm>
      <a:graphic>
        <a:graphicData uri="http://schemas.openxmlformats.org/drawingml/2006/chart">
          <c:chart xmlns:c="http://schemas.openxmlformats.org/drawingml/2006/chart" r:id="rId37"/>
        </a:graphicData>
      </a:graphic>
    </xdr:graphicFrame>
    <xdr:clientData/>
  </xdr:twoCellAnchor>
  <xdr:oneCellAnchor>
    <xdr:from>
      <xdr:col>2</xdr:col>
      <xdr:colOff>0</xdr:colOff>
      <xdr:row>965</xdr:row>
      <xdr:rowOff>0</xdr:rowOff>
    </xdr:from>
    <xdr:ext cx="3914775" cy="1295400"/>
    <xdr:sp macro="" fLocksText="0" textlink="">
      <xdr:nvSpPr>
        <xdr:cNvPr id="3165" name="Text Box 93"/>
        <xdr:cNvSpPr txBox="1">
          <a:spLocks noChangeArrowheads="1"/>
        </xdr:cNvSpPr>
      </xdr:nvSpPr>
      <xdr:spPr bwMode="auto">
        <a:xfrm>
          <a:off x="3810000" y="20226337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982</xdr:row>
      <xdr:rowOff>0</xdr:rowOff>
    </xdr:from>
    <xdr:to>
      <xdr:col>5</xdr:col>
      <xdr:colOff>0</xdr:colOff>
      <xdr:row>995</xdr:row>
      <xdr:rowOff>19050</xdr:rowOff>
    </xdr:to>
    <xdr:graphicFrame macro="">
      <xdr:nvGraphicFramePr>
        <xdr:cNvPr id="3166" name="Chart 94"/>
        <xdr:cNvGraphicFramePr/>
      </xdr:nvGraphicFramePr>
      <xdr:xfrm>
        <a:off x="3810000" y="206549625"/>
        <a:ext cx="3914775" cy="2124075"/>
      </xdr:xfrm>
      <a:graphic>
        <a:graphicData uri="http://schemas.openxmlformats.org/drawingml/2006/chart">
          <c:chart xmlns:c="http://schemas.openxmlformats.org/drawingml/2006/chart" r:id="rId38"/>
        </a:graphicData>
      </a:graphic>
    </xdr:graphicFrame>
    <xdr:clientData/>
  </xdr:twoCellAnchor>
  <xdr:oneCellAnchor>
    <xdr:from>
      <xdr:col>2</xdr:col>
      <xdr:colOff>0</xdr:colOff>
      <xdr:row>995</xdr:row>
      <xdr:rowOff>0</xdr:rowOff>
    </xdr:from>
    <xdr:ext cx="3914775" cy="1295400"/>
    <xdr:sp macro="" fLocksText="0" textlink="">
      <xdr:nvSpPr>
        <xdr:cNvPr id="3167" name="Text Box 95"/>
        <xdr:cNvSpPr txBox="1">
          <a:spLocks noChangeArrowheads="1"/>
        </xdr:cNvSpPr>
      </xdr:nvSpPr>
      <xdr:spPr bwMode="auto">
        <a:xfrm>
          <a:off x="3810000" y="20865465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1012</xdr:row>
      <xdr:rowOff>0</xdr:rowOff>
    </xdr:from>
    <xdr:to>
      <xdr:col>5</xdr:col>
      <xdr:colOff>0</xdr:colOff>
      <xdr:row>1025</xdr:row>
      <xdr:rowOff>19050</xdr:rowOff>
    </xdr:to>
    <xdr:graphicFrame macro="">
      <xdr:nvGraphicFramePr>
        <xdr:cNvPr id="3168" name="Chart 96"/>
        <xdr:cNvGraphicFramePr/>
      </xdr:nvGraphicFramePr>
      <xdr:xfrm>
        <a:off x="3810000" y="212940900"/>
        <a:ext cx="3914775" cy="2124075"/>
      </xdr:xfrm>
      <a:graphic>
        <a:graphicData uri="http://schemas.openxmlformats.org/drawingml/2006/chart">
          <c:chart xmlns:c="http://schemas.openxmlformats.org/drawingml/2006/chart" r:id="rId39"/>
        </a:graphicData>
      </a:graphic>
    </xdr:graphicFrame>
    <xdr:clientData/>
  </xdr:twoCellAnchor>
  <xdr:oneCellAnchor>
    <xdr:from>
      <xdr:col>2</xdr:col>
      <xdr:colOff>0</xdr:colOff>
      <xdr:row>1025</xdr:row>
      <xdr:rowOff>0</xdr:rowOff>
    </xdr:from>
    <xdr:ext cx="3914775" cy="1295400"/>
    <xdr:sp macro="" fLocksText="0" textlink="">
      <xdr:nvSpPr>
        <xdr:cNvPr id="3169" name="Text Box 97"/>
        <xdr:cNvSpPr txBox="1">
          <a:spLocks noChangeArrowheads="1"/>
        </xdr:cNvSpPr>
      </xdr:nvSpPr>
      <xdr:spPr bwMode="auto">
        <a:xfrm>
          <a:off x="3810000" y="21504592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1042</xdr:row>
      <xdr:rowOff>0</xdr:rowOff>
    </xdr:from>
    <xdr:to>
      <xdr:col>5</xdr:col>
      <xdr:colOff>0</xdr:colOff>
      <xdr:row>1055</xdr:row>
      <xdr:rowOff>19050</xdr:rowOff>
    </xdr:to>
    <xdr:graphicFrame macro="">
      <xdr:nvGraphicFramePr>
        <xdr:cNvPr id="3170" name="Chart 98"/>
        <xdr:cNvGraphicFramePr/>
      </xdr:nvGraphicFramePr>
      <xdr:xfrm>
        <a:off x="3810000" y="219332175"/>
        <a:ext cx="3914775" cy="2124075"/>
      </xdr:xfrm>
      <a:graphic>
        <a:graphicData uri="http://schemas.openxmlformats.org/drawingml/2006/chart">
          <c:chart xmlns:c="http://schemas.openxmlformats.org/drawingml/2006/chart" r:id="rId40"/>
        </a:graphicData>
      </a:graphic>
    </xdr:graphicFrame>
    <xdr:clientData/>
  </xdr:twoCellAnchor>
  <xdr:oneCellAnchor>
    <xdr:from>
      <xdr:col>2</xdr:col>
      <xdr:colOff>0</xdr:colOff>
      <xdr:row>1055</xdr:row>
      <xdr:rowOff>0</xdr:rowOff>
    </xdr:from>
    <xdr:ext cx="3914775" cy="1295400"/>
    <xdr:sp macro="" fLocksText="0" textlink="">
      <xdr:nvSpPr>
        <xdr:cNvPr id="3171" name="Text Box 99"/>
        <xdr:cNvSpPr txBox="1">
          <a:spLocks noChangeArrowheads="1"/>
        </xdr:cNvSpPr>
      </xdr:nvSpPr>
      <xdr:spPr bwMode="auto">
        <a:xfrm>
          <a:off x="3810000" y="22143720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1072</xdr:row>
      <xdr:rowOff>0</xdr:rowOff>
    </xdr:from>
    <xdr:to>
      <xdr:col>5</xdr:col>
      <xdr:colOff>0</xdr:colOff>
      <xdr:row>1085</xdr:row>
      <xdr:rowOff>19050</xdr:rowOff>
    </xdr:to>
    <xdr:graphicFrame macro="">
      <xdr:nvGraphicFramePr>
        <xdr:cNvPr id="3172" name="Chart 100"/>
        <xdr:cNvGraphicFramePr/>
      </xdr:nvGraphicFramePr>
      <xdr:xfrm>
        <a:off x="3810000" y="225723450"/>
        <a:ext cx="3914775" cy="2124075"/>
      </xdr:xfrm>
      <a:graphic>
        <a:graphicData uri="http://schemas.openxmlformats.org/drawingml/2006/chart">
          <c:chart xmlns:c="http://schemas.openxmlformats.org/drawingml/2006/chart" r:id="rId41"/>
        </a:graphicData>
      </a:graphic>
    </xdr:graphicFrame>
    <xdr:clientData/>
  </xdr:twoCellAnchor>
  <xdr:oneCellAnchor>
    <xdr:from>
      <xdr:col>2</xdr:col>
      <xdr:colOff>0</xdr:colOff>
      <xdr:row>1085</xdr:row>
      <xdr:rowOff>0</xdr:rowOff>
    </xdr:from>
    <xdr:ext cx="3914775" cy="1295400"/>
    <xdr:sp macro="" fLocksText="0" textlink="">
      <xdr:nvSpPr>
        <xdr:cNvPr id="3173" name="Text Box 101"/>
        <xdr:cNvSpPr txBox="1">
          <a:spLocks noChangeArrowheads="1"/>
        </xdr:cNvSpPr>
      </xdr:nvSpPr>
      <xdr:spPr bwMode="auto">
        <a:xfrm>
          <a:off x="3810000" y="22782847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1102</xdr:row>
      <xdr:rowOff>0</xdr:rowOff>
    </xdr:from>
    <xdr:to>
      <xdr:col>5</xdr:col>
      <xdr:colOff>0</xdr:colOff>
      <xdr:row>1115</xdr:row>
      <xdr:rowOff>19050</xdr:rowOff>
    </xdr:to>
    <xdr:graphicFrame macro="">
      <xdr:nvGraphicFramePr>
        <xdr:cNvPr id="3174" name="Chart 102"/>
        <xdr:cNvGraphicFramePr/>
      </xdr:nvGraphicFramePr>
      <xdr:xfrm>
        <a:off x="3810000" y="232114725"/>
        <a:ext cx="3914775" cy="2124075"/>
      </xdr:xfrm>
      <a:graphic>
        <a:graphicData uri="http://schemas.openxmlformats.org/drawingml/2006/chart">
          <c:chart xmlns:c="http://schemas.openxmlformats.org/drawingml/2006/chart" r:id="rId42"/>
        </a:graphicData>
      </a:graphic>
    </xdr:graphicFrame>
    <xdr:clientData/>
  </xdr:twoCellAnchor>
  <xdr:oneCellAnchor>
    <xdr:from>
      <xdr:col>2</xdr:col>
      <xdr:colOff>0</xdr:colOff>
      <xdr:row>1115</xdr:row>
      <xdr:rowOff>0</xdr:rowOff>
    </xdr:from>
    <xdr:ext cx="3914775" cy="1295400"/>
    <xdr:sp macro="" fLocksText="0" textlink="">
      <xdr:nvSpPr>
        <xdr:cNvPr id="3175" name="Text Box 103"/>
        <xdr:cNvSpPr txBox="1">
          <a:spLocks noChangeArrowheads="1"/>
        </xdr:cNvSpPr>
      </xdr:nvSpPr>
      <xdr:spPr bwMode="auto">
        <a:xfrm>
          <a:off x="3810000" y="23421975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1132</xdr:row>
      <xdr:rowOff>0</xdr:rowOff>
    </xdr:from>
    <xdr:to>
      <xdr:col>5</xdr:col>
      <xdr:colOff>0</xdr:colOff>
      <xdr:row>1145</xdr:row>
      <xdr:rowOff>19050</xdr:rowOff>
    </xdr:to>
    <xdr:graphicFrame macro="">
      <xdr:nvGraphicFramePr>
        <xdr:cNvPr id="3176" name="Chart 104"/>
        <xdr:cNvGraphicFramePr/>
      </xdr:nvGraphicFramePr>
      <xdr:xfrm>
        <a:off x="3810000" y="238506000"/>
        <a:ext cx="3914775" cy="2124075"/>
      </xdr:xfrm>
      <a:graphic>
        <a:graphicData uri="http://schemas.openxmlformats.org/drawingml/2006/chart">
          <c:chart xmlns:c="http://schemas.openxmlformats.org/drawingml/2006/chart" r:id="rId43"/>
        </a:graphicData>
      </a:graphic>
    </xdr:graphicFrame>
    <xdr:clientData/>
  </xdr:twoCellAnchor>
  <xdr:oneCellAnchor>
    <xdr:from>
      <xdr:col>2</xdr:col>
      <xdr:colOff>0</xdr:colOff>
      <xdr:row>1145</xdr:row>
      <xdr:rowOff>0</xdr:rowOff>
    </xdr:from>
    <xdr:ext cx="3914775" cy="1295400"/>
    <xdr:sp macro="" fLocksText="0" textlink="">
      <xdr:nvSpPr>
        <xdr:cNvPr id="3177" name="Text Box 105"/>
        <xdr:cNvSpPr txBox="1">
          <a:spLocks noChangeArrowheads="1"/>
        </xdr:cNvSpPr>
      </xdr:nvSpPr>
      <xdr:spPr bwMode="auto">
        <a:xfrm>
          <a:off x="3810000" y="24061102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1162</xdr:row>
      <xdr:rowOff>0</xdr:rowOff>
    </xdr:from>
    <xdr:to>
      <xdr:col>5</xdr:col>
      <xdr:colOff>0</xdr:colOff>
      <xdr:row>1175</xdr:row>
      <xdr:rowOff>19050</xdr:rowOff>
    </xdr:to>
    <xdr:graphicFrame macro="">
      <xdr:nvGraphicFramePr>
        <xdr:cNvPr id="3178" name="Chart 106"/>
        <xdr:cNvGraphicFramePr/>
      </xdr:nvGraphicFramePr>
      <xdr:xfrm>
        <a:off x="3810000" y="244897275"/>
        <a:ext cx="3914775" cy="2124075"/>
      </xdr:xfrm>
      <a:graphic>
        <a:graphicData uri="http://schemas.openxmlformats.org/drawingml/2006/chart">
          <c:chart xmlns:c="http://schemas.openxmlformats.org/drawingml/2006/chart" r:id="rId44"/>
        </a:graphicData>
      </a:graphic>
    </xdr:graphicFrame>
    <xdr:clientData/>
  </xdr:twoCellAnchor>
  <xdr:oneCellAnchor>
    <xdr:from>
      <xdr:col>2</xdr:col>
      <xdr:colOff>0</xdr:colOff>
      <xdr:row>1175</xdr:row>
      <xdr:rowOff>0</xdr:rowOff>
    </xdr:from>
    <xdr:ext cx="3914775" cy="1295400"/>
    <xdr:sp macro="" fLocksText="0" textlink="">
      <xdr:nvSpPr>
        <xdr:cNvPr id="3179" name="Text Box 107"/>
        <xdr:cNvSpPr txBox="1">
          <a:spLocks noChangeArrowheads="1"/>
        </xdr:cNvSpPr>
      </xdr:nvSpPr>
      <xdr:spPr bwMode="auto">
        <a:xfrm>
          <a:off x="3810000" y="24700230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1192</xdr:row>
      <xdr:rowOff>0</xdr:rowOff>
    </xdr:from>
    <xdr:to>
      <xdr:col>5</xdr:col>
      <xdr:colOff>0</xdr:colOff>
      <xdr:row>1205</xdr:row>
      <xdr:rowOff>19050</xdr:rowOff>
    </xdr:to>
    <xdr:graphicFrame macro="">
      <xdr:nvGraphicFramePr>
        <xdr:cNvPr id="3180" name="Chart 108"/>
        <xdr:cNvGraphicFramePr/>
      </xdr:nvGraphicFramePr>
      <xdr:xfrm>
        <a:off x="3810000" y="251288550"/>
        <a:ext cx="3914775" cy="2124075"/>
      </xdr:xfrm>
      <a:graphic>
        <a:graphicData uri="http://schemas.openxmlformats.org/drawingml/2006/chart">
          <c:chart xmlns:c="http://schemas.openxmlformats.org/drawingml/2006/chart" r:id="rId45"/>
        </a:graphicData>
      </a:graphic>
    </xdr:graphicFrame>
    <xdr:clientData/>
  </xdr:twoCellAnchor>
  <xdr:oneCellAnchor>
    <xdr:from>
      <xdr:col>2</xdr:col>
      <xdr:colOff>0</xdr:colOff>
      <xdr:row>1205</xdr:row>
      <xdr:rowOff>0</xdr:rowOff>
    </xdr:from>
    <xdr:ext cx="3914775" cy="1295400"/>
    <xdr:sp macro="" fLocksText="0" textlink="">
      <xdr:nvSpPr>
        <xdr:cNvPr id="3181" name="Text Box 109"/>
        <xdr:cNvSpPr txBox="1">
          <a:spLocks noChangeArrowheads="1"/>
        </xdr:cNvSpPr>
      </xdr:nvSpPr>
      <xdr:spPr bwMode="auto">
        <a:xfrm>
          <a:off x="3810000" y="25339357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1222</xdr:row>
      <xdr:rowOff>0</xdr:rowOff>
    </xdr:from>
    <xdr:to>
      <xdr:col>5</xdr:col>
      <xdr:colOff>0</xdr:colOff>
      <xdr:row>1235</xdr:row>
      <xdr:rowOff>19050</xdr:rowOff>
    </xdr:to>
    <xdr:graphicFrame macro="">
      <xdr:nvGraphicFramePr>
        <xdr:cNvPr id="3182" name="Chart 110"/>
        <xdr:cNvGraphicFramePr/>
      </xdr:nvGraphicFramePr>
      <xdr:xfrm>
        <a:off x="3810000" y="257679825"/>
        <a:ext cx="3914775" cy="2124075"/>
      </xdr:xfrm>
      <a:graphic>
        <a:graphicData uri="http://schemas.openxmlformats.org/drawingml/2006/chart">
          <c:chart xmlns:c="http://schemas.openxmlformats.org/drawingml/2006/chart" r:id="rId46"/>
        </a:graphicData>
      </a:graphic>
    </xdr:graphicFrame>
    <xdr:clientData/>
  </xdr:twoCellAnchor>
  <xdr:oneCellAnchor>
    <xdr:from>
      <xdr:col>2</xdr:col>
      <xdr:colOff>0</xdr:colOff>
      <xdr:row>1235</xdr:row>
      <xdr:rowOff>0</xdr:rowOff>
    </xdr:from>
    <xdr:ext cx="3914775" cy="1295400"/>
    <xdr:sp macro="" fLocksText="0" textlink="">
      <xdr:nvSpPr>
        <xdr:cNvPr id="3183" name="Text Box 111"/>
        <xdr:cNvSpPr txBox="1">
          <a:spLocks noChangeArrowheads="1"/>
        </xdr:cNvSpPr>
      </xdr:nvSpPr>
      <xdr:spPr bwMode="auto">
        <a:xfrm>
          <a:off x="3810000" y="25978485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1252</xdr:row>
      <xdr:rowOff>0</xdr:rowOff>
    </xdr:from>
    <xdr:to>
      <xdr:col>5</xdr:col>
      <xdr:colOff>0</xdr:colOff>
      <xdr:row>1265</xdr:row>
      <xdr:rowOff>19050</xdr:rowOff>
    </xdr:to>
    <xdr:graphicFrame macro="">
      <xdr:nvGraphicFramePr>
        <xdr:cNvPr id="3184" name="Chart 112"/>
        <xdr:cNvGraphicFramePr/>
      </xdr:nvGraphicFramePr>
      <xdr:xfrm>
        <a:off x="3810000" y="264071100"/>
        <a:ext cx="3914775" cy="2124075"/>
      </xdr:xfrm>
      <a:graphic>
        <a:graphicData uri="http://schemas.openxmlformats.org/drawingml/2006/chart">
          <c:chart xmlns:c="http://schemas.openxmlformats.org/drawingml/2006/chart" r:id="rId47"/>
        </a:graphicData>
      </a:graphic>
    </xdr:graphicFrame>
    <xdr:clientData/>
  </xdr:twoCellAnchor>
  <xdr:oneCellAnchor>
    <xdr:from>
      <xdr:col>2</xdr:col>
      <xdr:colOff>0</xdr:colOff>
      <xdr:row>1265</xdr:row>
      <xdr:rowOff>0</xdr:rowOff>
    </xdr:from>
    <xdr:ext cx="3914775" cy="1295400"/>
    <xdr:sp macro="" fLocksText="0" textlink="">
      <xdr:nvSpPr>
        <xdr:cNvPr id="3185" name="Text Box 113"/>
        <xdr:cNvSpPr txBox="1">
          <a:spLocks noChangeArrowheads="1"/>
        </xdr:cNvSpPr>
      </xdr:nvSpPr>
      <xdr:spPr bwMode="auto">
        <a:xfrm>
          <a:off x="3810000" y="26617612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1282</xdr:row>
      <xdr:rowOff>0</xdr:rowOff>
    </xdr:from>
    <xdr:to>
      <xdr:col>5</xdr:col>
      <xdr:colOff>0</xdr:colOff>
      <xdr:row>1295</xdr:row>
      <xdr:rowOff>19050</xdr:rowOff>
    </xdr:to>
    <xdr:graphicFrame macro="">
      <xdr:nvGraphicFramePr>
        <xdr:cNvPr id="3188" name="Chart 116"/>
        <xdr:cNvGraphicFramePr/>
      </xdr:nvGraphicFramePr>
      <xdr:xfrm>
        <a:off x="3810000" y="270462375"/>
        <a:ext cx="3914775" cy="2124075"/>
      </xdr:xfrm>
      <a:graphic>
        <a:graphicData uri="http://schemas.openxmlformats.org/drawingml/2006/chart">
          <c:chart xmlns:c="http://schemas.openxmlformats.org/drawingml/2006/chart" r:id="rId48"/>
        </a:graphicData>
      </a:graphic>
    </xdr:graphicFrame>
    <xdr:clientData/>
  </xdr:twoCellAnchor>
  <xdr:oneCellAnchor>
    <xdr:from>
      <xdr:col>2</xdr:col>
      <xdr:colOff>0</xdr:colOff>
      <xdr:row>1295</xdr:row>
      <xdr:rowOff>0</xdr:rowOff>
    </xdr:from>
    <xdr:ext cx="3914775" cy="1295400"/>
    <xdr:sp macro="" fLocksText="0" textlink="">
      <xdr:nvSpPr>
        <xdr:cNvPr id="3189" name="Text Box 117"/>
        <xdr:cNvSpPr txBox="1">
          <a:spLocks noChangeArrowheads="1"/>
        </xdr:cNvSpPr>
      </xdr:nvSpPr>
      <xdr:spPr bwMode="auto">
        <a:xfrm>
          <a:off x="3810000" y="27256740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1312</xdr:row>
      <xdr:rowOff>0</xdr:rowOff>
    </xdr:from>
    <xdr:to>
      <xdr:col>5</xdr:col>
      <xdr:colOff>0</xdr:colOff>
      <xdr:row>1325</xdr:row>
      <xdr:rowOff>19050</xdr:rowOff>
    </xdr:to>
    <xdr:graphicFrame macro="">
      <xdr:nvGraphicFramePr>
        <xdr:cNvPr id="3190" name="Chart 118"/>
        <xdr:cNvGraphicFramePr/>
      </xdr:nvGraphicFramePr>
      <xdr:xfrm>
        <a:off x="3810000" y="276853650"/>
        <a:ext cx="3914775" cy="2124075"/>
      </xdr:xfrm>
      <a:graphic>
        <a:graphicData uri="http://schemas.openxmlformats.org/drawingml/2006/chart">
          <c:chart xmlns:c="http://schemas.openxmlformats.org/drawingml/2006/chart" r:id="rId49"/>
        </a:graphicData>
      </a:graphic>
    </xdr:graphicFrame>
    <xdr:clientData/>
  </xdr:twoCellAnchor>
  <xdr:oneCellAnchor>
    <xdr:from>
      <xdr:col>2</xdr:col>
      <xdr:colOff>0</xdr:colOff>
      <xdr:row>1325</xdr:row>
      <xdr:rowOff>0</xdr:rowOff>
    </xdr:from>
    <xdr:ext cx="3914775" cy="1295400"/>
    <xdr:sp macro="" fLocksText="0" textlink="">
      <xdr:nvSpPr>
        <xdr:cNvPr id="3191" name="Text Box 119"/>
        <xdr:cNvSpPr txBox="1">
          <a:spLocks noChangeArrowheads="1"/>
        </xdr:cNvSpPr>
      </xdr:nvSpPr>
      <xdr:spPr bwMode="auto">
        <a:xfrm>
          <a:off x="3810000" y="278958675"/>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1342</xdr:row>
      <xdr:rowOff>0</xdr:rowOff>
    </xdr:from>
    <xdr:to>
      <xdr:col>5</xdr:col>
      <xdr:colOff>0</xdr:colOff>
      <xdr:row>1355</xdr:row>
      <xdr:rowOff>19050</xdr:rowOff>
    </xdr:to>
    <xdr:graphicFrame macro="">
      <xdr:nvGraphicFramePr>
        <xdr:cNvPr id="3192" name="Chart 120"/>
        <xdr:cNvGraphicFramePr/>
      </xdr:nvGraphicFramePr>
      <xdr:xfrm>
        <a:off x="3810000" y="283244925"/>
        <a:ext cx="3914775" cy="2124075"/>
      </xdr:xfrm>
      <a:graphic>
        <a:graphicData uri="http://schemas.openxmlformats.org/drawingml/2006/chart">
          <c:chart xmlns:c="http://schemas.openxmlformats.org/drawingml/2006/chart" r:id="rId50"/>
        </a:graphicData>
      </a:graphic>
    </xdr:graphicFrame>
    <xdr:clientData/>
  </xdr:twoCellAnchor>
  <xdr:oneCellAnchor>
    <xdr:from>
      <xdr:col>2</xdr:col>
      <xdr:colOff>0</xdr:colOff>
      <xdr:row>1355</xdr:row>
      <xdr:rowOff>0</xdr:rowOff>
    </xdr:from>
    <xdr:ext cx="3914775" cy="1295400"/>
    <xdr:sp macro="" fLocksText="0" textlink="">
      <xdr:nvSpPr>
        <xdr:cNvPr id="3193" name="Text Box 121"/>
        <xdr:cNvSpPr txBox="1">
          <a:spLocks noChangeArrowheads="1"/>
        </xdr:cNvSpPr>
      </xdr:nvSpPr>
      <xdr:spPr bwMode="auto">
        <a:xfrm>
          <a:off x="3810000" y="285349950"/>
          <a:ext cx="3914775" cy="12954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twoCellAnchor>
    <xdr:from>
      <xdr:col>2</xdr:col>
      <xdr:colOff>0</xdr:colOff>
      <xdr:row>1372</xdr:row>
      <xdr:rowOff>0</xdr:rowOff>
    </xdr:from>
    <xdr:to>
      <xdr:col>5</xdr:col>
      <xdr:colOff>0</xdr:colOff>
      <xdr:row>1385</xdr:row>
      <xdr:rowOff>19050</xdr:rowOff>
    </xdr:to>
    <xdr:graphicFrame macro="">
      <xdr:nvGraphicFramePr>
        <xdr:cNvPr id="3194" name="Chart 122"/>
        <xdr:cNvGraphicFramePr/>
      </xdr:nvGraphicFramePr>
      <xdr:xfrm>
        <a:off x="3810000" y="289636200"/>
        <a:ext cx="3914775" cy="2124075"/>
      </xdr:xfrm>
      <a:graphic>
        <a:graphicData uri="http://schemas.openxmlformats.org/drawingml/2006/chart">
          <c:chart xmlns:c="http://schemas.openxmlformats.org/drawingml/2006/chart" r:id="rId51"/>
        </a:graphicData>
      </a:graphic>
    </xdr:graphicFrame>
    <xdr:clientData/>
  </xdr:twoCellAnchor>
  <xdr:oneCellAnchor>
    <xdr:from>
      <xdr:col>2</xdr:col>
      <xdr:colOff>9525</xdr:colOff>
      <xdr:row>1385</xdr:row>
      <xdr:rowOff>0</xdr:rowOff>
    </xdr:from>
    <xdr:ext cx="3905250" cy="1438275"/>
    <xdr:sp macro="" fLocksText="0" textlink="">
      <xdr:nvSpPr>
        <xdr:cNvPr id="3195" name="Text Box 123"/>
        <xdr:cNvSpPr txBox="1">
          <a:spLocks noChangeArrowheads="1"/>
        </xdr:cNvSpPr>
      </xdr:nvSpPr>
      <xdr:spPr bwMode="auto">
        <a:xfrm>
          <a:off x="3819525" y="291741225"/>
          <a:ext cx="3905250" cy="1438275"/>
        </a:xfrm>
        <a:prstGeom prst="rect">
          <a:avLst/>
        </a:prstGeom>
        <a:solidFill>
          <a:srgbClr val="CCFFCC"/>
        </a:solidFill>
        <a:ln w="19050">
          <a:noFill/>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1.1.4.3 CALIDAD FISICO-QUÍMICA Y BACTERIOLÓGICA. </a:t>
          </a:r>
          <a:r>
            <a:rPr lang="es-ES" sz="800" b="0" i="0" u="none" strike="noStrike" baseline="0">
              <a:solidFill>
                <a:srgbClr val="000000"/>
              </a:solidFill>
              <a:latin typeface="Arial"/>
              <a:cs typeface="Arial"/>
            </a:rPr>
            <a:t>Estado de una masa de agua según sus características fisico-químicas o biológicas, relacionadas con el uso.</a:t>
          </a:r>
        </a:p>
        <a:p>
          <a:pPr algn="l" rtl="0">
            <a:defRPr sz="1000"/>
          </a:pPr>
          <a:endParaRPr lang="es-ES" sz="800" b="0" i="0" u="none" strike="noStrike" baseline="0">
            <a:solidFill>
              <a:srgbClr val="000000"/>
            </a:solidFill>
            <a:latin typeface="Arial"/>
            <a:cs typeface="Arial"/>
          </a:endParaRPr>
        </a:p>
      </xdr:txBody>
    </xdr:sp>
    <xdr:clientData/>
  </xdr:oneCellAnchor>
  <xdr:oneCellAnchor>
    <xdr:from>
      <xdr:col>0</xdr:col>
      <xdr:colOff>133350</xdr:colOff>
      <xdr:row>1394</xdr:row>
      <xdr:rowOff>47625</xdr:rowOff>
    </xdr:from>
    <xdr:ext cx="7562850" cy="457200"/>
    <xdr:sp macro="" fLocksText="0" textlink="">
      <xdr:nvSpPr>
        <xdr:cNvPr id="3197" name="Text Box 125"/>
        <xdr:cNvSpPr txBox="1">
          <a:spLocks noChangeArrowheads="1"/>
        </xdr:cNvSpPr>
      </xdr:nvSpPr>
      <xdr:spPr bwMode="auto">
        <a:xfrm>
          <a:off x="133350" y="293246175"/>
          <a:ext cx="7562850" cy="457200"/>
        </a:xfrm>
        <a:prstGeom prst="rect">
          <a:avLst/>
        </a:prstGeom>
        <a:solidFill>
          <a:srgbClr val="CCFFCC"/>
        </a:solidFill>
        <a:ln w="19050">
          <a:noFill/>
        </a:ln>
      </xdr:spPr>
      <xdr:txBody>
        <a:bodyPr vertOverflow="clip" wrap="square" lIns="27432" tIns="22860" rIns="0" bIns="0" anchor="t" upright="1"/>
        <a:lstStyle/>
        <a:p>
          <a:pPr algn="l" rtl="0">
            <a:defRPr sz="1000"/>
          </a:pPr>
          <a:r>
            <a:rPr lang="es-ES" sz="800" b="0" i="0" u="none" strike="noStrike" baseline="0">
              <a:solidFill>
                <a:srgbClr val="000000"/>
              </a:solidFill>
              <a:latin typeface="Arial"/>
              <a:cs typeface="Arial"/>
            </a:rPr>
            <a:t>Hay 3 tipos de tratamientos potabilizadores: A1 (baja intensidad, poco contaminadas), A2 (intensidad media, contaminación media), A3 (alta intensidad, muy contaminadas). Aceptando que la calidad ambiental es inversa al coste de potabilización, se establece un criterio sólido para asignar valores de calidad del agua según el rigor de potabilización. Su coste es:</a:t>
          </a:r>
        </a:p>
      </xdr:txBody>
    </xdr:sp>
    <xdr:clientData/>
  </xdr:oneCellAnchor>
  <xdr:twoCellAnchor editAs="oneCell">
    <xdr:from>
      <xdr:col>0</xdr:col>
      <xdr:colOff>904875</xdr:colOff>
      <xdr:row>1397</xdr:row>
      <xdr:rowOff>9525</xdr:rowOff>
    </xdr:from>
    <xdr:to>
      <xdr:col>4</xdr:col>
      <xdr:colOff>476250</xdr:colOff>
      <xdr:row>1400</xdr:row>
      <xdr:rowOff>142875</xdr:rowOff>
    </xdr:to>
    <xdr:pic>
      <xdr:nvPicPr>
        <xdr:cNvPr id="3199" name="Picture 127"/>
        <xdr:cNvPicPr preferRelativeResize="1">
          <a:picLocks noChangeAspect="1"/>
        </xdr:cNvPicPr>
      </xdr:nvPicPr>
      <xdr:blipFill>
        <a:blip r:embed="rId52"/>
        <a:srcRect r="-6399" b="18838"/>
        <a:stretch>
          <a:fillRect/>
        </a:stretch>
      </xdr:blipFill>
      <xdr:spPr bwMode="auto">
        <a:xfrm>
          <a:off x="904875" y="293693850"/>
          <a:ext cx="5991225" cy="6191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19</xdr:row>
      <xdr:rowOff>152400</xdr:rowOff>
    </xdr:from>
    <xdr:to>
      <xdr:col>5</xdr:col>
      <xdr:colOff>0</xdr:colOff>
      <xdr:row>31</xdr:row>
      <xdr:rowOff>0</xdr:rowOff>
    </xdr:to>
    <xdr:sp macro="" fLocksText="0" textlink="">
      <xdr:nvSpPr>
        <xdr:cNvPr id="4097" name="Text Box 1"/>
        <xdr:cNvSpPr txBox="1">
          <a:spLocks noChangeArrowheads="1"/>
        </xdr:cNvSpPr>
      </xdr:nvSpPr>
      <xdr:spPr bwMode="auto">
        <a:xfrm>
          <a:off x="3810000" y="4762500"/>
          <a:ext cx="3914775" cy="1790700"/>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1.1.4.4 TEMPERATURA.</a:t>
          </a:r>
          <a:r>
            <a:rPr lang="es-ES" sz="800" b="0" i="0" u="none" strike="noStrike" baseline="0">
              <a:solidFill>
                <a:srgbClr val="000000"/>
              </a:solidFill>
              <a:latin typeface="Arial"/>
              <a:cs typeface="Arial"/>
            </a:rPr>
            <a:t> Temperatura del agua medida en determinadas condiciones y su régimen temporal.</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Variar la tª es siempre un impacto negativo, ya que el ecosistema pierde su equilibrio.</a:t>
          </a:r>
        </a:p>
        <a:p>
          <a:pPr algn="l" rtl="0">
            <a:defRPr sz="1000"/>
          </a:pPr>
          <a:r>
            <a:rPr lang="es-ES" sz="800" b="0" i="0" u="none" strike="noStrike" baseline="0">
              <a:solidFill>
                <a:srgbClr val="000000"/>
              </a:solidFill>
              <a:latin typeface="Arial"/>
              <a:cs typeface="Arial"/>
            </a:rPr>
            <a:t>Ind (sin) = 0</a:t>
          </a:r>
          <a:endParaRPr lang="es-ES" sz="800" b="0"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xdr:txBody>
    </xdr:sp>
    <xdr:clientData/>
  </xdr:twoCellAnchor>
  <xdr:twoCellAnchor>
    <xdr:from>
      <xdr:col>2</xdr:col>
      <xdr:colOff>0</xdr:colOff>
      <xdr:row>7</xdr:row>
      <xdr:rowOff>0</xdr:rowOff>
    </xdr:from>
    <xdr:to>
      <xdr:col>5</xdr:col>
      <xdr:colOff>0</xdr:colOff>
      <xdr:row>20</xdr:row>
      <xdr:rowOff>0</xdr:rowOff>
    </xdr:to>
    <xdr:graphicFrame macro="">
      <xdr:nvGraphicFramePr>
        <xdr:cNvPr id="4098" name="Chart 2"/>
        <xdr:cNvGraphicFramePr/>
      </xdr:nvGraphicFramePr>
      <xdr:xfrm>
        <a:off x="3810000" y="2667000"/>
        <a:ext cx="3914775" cy="2105025"/>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40</xdr:row>
      <xdr:rowOff>0</xdr:rowOff>
    </xdr:from>
    <xdr:to>
      <xdr:col>5</xdr:col>
      <xdr:colOff>0</xdr:colOff>
      <xdr:row>53</xdr:row>
      <xdr:rowOff>0</xdr:rowOff>
    </xdr:to>
    <xdr:graphicFrame macro="">
      <xdr:nvGraphicFramePr>
        <xdr:cNvPr id="4103" name="Chart 7"/>
        <xdr:cNvGraphicFramePr/>
      </xdr:nvGraphicFramePr>
      <xdr:xfrm>
        <a:off x="3810000" y="9544050"/>
        <a:ext cx="3914775" cy="2105025"/>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52</xdr:row>
      <xdr:rowOff>152400</xdr:rowOff>
    </xdr:from>
    <xdr:to>
      <xdr:col>5</xdr:col>
      <xdr:colOff>0</xdr:colOff>
      <xdr:row>65</xdr:row>
      <xdr:rowOff>0</xdr:rowOff>
    </xdr:to>
    <xdr:sp macro="" fLocksText="0" textlink="">
      <xdr:nvSpPr>
        <xdr:cNvPr id="4104" name="Text Box 8"/>
        <xdr:cNvSpPr txBox="1">
          <a:spLocks noChangeArrowheads="1"/>
        </xdr:cNvSpPr>
      </xdr:nvSpPr>
      <xdr:spPr bwMode="auto">
        <a:xfrm>
          <a:off x="3810000" y="11639550"/>
          <a:ext cx="3914775" cy="1952625"/>
        </a:xfrm>
        <a:prstGeom prst="rect">
          <a:avLst/>
        </a:prstGeom>
        <a:solidFill>
          <a:srgbClr val="CCFFCC"/>
        </a:solidFill>
        <a:ln w="19050">
          <a:solidFill>
            <a:srgbClr val="000000"/>
          </a:solidFill>
          <a:miter lim="800000"/>
          <a:headEnd type="none"/>
          <a:tailEnd type="none"/>
        </a:ln>
      </xdr:spPr>
      <xdr:txBody>
        <a:bodyPr vertOverflow="clip" wrap="square" lIns="27432" tIns="22860" rIns="0" bIns="0" anchor="t" upright="1"/>
        <a:lstStyle/>
        <a:p>
          <a:pPr algn="l" rtl="0">
            <a:defRPr sz="1000"/>
          </a:pPr>
          <a:r>
            <a:rPr lang="es-ES" sz="800" b="1" i="0" u="none" strike="noStrike" baseline="0">
              <a:solidFill>
                <a:srgbClr val="000000"/>
              </a:solidFill>
              <a:latin typeface="Arial"/>
              <a:cs typeface="Arial"/>
            </a:rPr>
            <a:t>1.1.4 AGUAS CONTINENTALES</a:t>
          </a:r>
          <a:r>
            <a:rPr lang="es-ES" sz="800" b="0" i="0" u="none" strike="noStrike" baseline="0">
              <a:solidFill>
                <a:srgbClr val="000000"/>
              </a:solidFill>
              <a:latin typeface="Arial"/>
              <a:cs typeface="Arial"/>
            </a:rPr>
            <a:t>. Incluye el agua en superficie (fuentes y manantiales, ríos, lagos, lagunas, embalses y zonas pantanosas) y la subterránea (acuíferos). Se puede alterar la cantidad de agua, la calidad, la distribución espacial (trasvases intencionados de agua, cuando un túnel rompe una corriente interna de agua que necesariamente debe ser derivada hacia otros lugares...), el régimen (que determina la disponibilidad temporal de agua con incidencia en la flora y fauna).</a:t>
          </a:r>
          <a:endParaRPr lang="es-ES" sz="800" b="1" i="0" u="none" strike="noStrike" baseline="0">
            <a:solidFill>
              <a:srgbClr val="000000"/>
            </a:solidFill>
            <a:latin typeface="Arial"/>
            <a:cs typeface="Arial"/>
          </a:endParaRPr>
        </a:p>
        <a:p>
          <a:pPr algn="l" rtl="0">
            <a:defRPr sz="1000"/>
          </a:pPr>
          <a:r>
            <a:rPr lang="es-ES" sz="800" b="1" i="0" u="none" strike="noStrike" baseline="0">
              <a:solidFill>
                <a:srgbClr val="000000"/>
              </a:solidFill>
              <a:latin typeface="Arial"/>
              <a:cs typeface="Arial"/>
            </a:rPr>
            <a:t>1.1.4.4 TEMPERATURA.</a:t>
          </a:r>
          <a:r>
            <a:rPr lang="es-ES" sz="800" b="0" i="0" u="none" strike="noStrike" baseline="0">
              <a:solidFill>
                <a:srgbClr val="000000"/>
              </a:solidFill>
              <a:latin typeface="Arial"/>
              <a:cs typeface="Arial"/>
            </a:rPr>
            <a:t> Temperatura del agua medida en determinadas condiciones y su régimen temporal.</a:t>
          </a:r>
        </a:p>
        <a:p>
          <a:pPr algn="l" rtl="0">
            <a:defRPr sz="1000"/>
          </a:pPr>
          <a:endParaRPr lang="es-ES" sz="800" b="0" i="0" u="none" strike="noStrike" baseline="0">
            <a:solidFill>
              <a:srgbClr val="000000"/>
            </a:solidFill>
            <a:latin typeface="Arial"/>
            <a:cs typeface="Arial"/>
          </a:endParaRPr>
        </a:p>
        <a:p>
          <a:pPr algn="l" rtl="0">
            <a:defRPr sz="1000"/>
          </a:pPr>
          <a:r>
            <a:rPr lang="es-ES" sz="800" b="0" i="0" u="none" strike="noStrike" baseline="0">
              <a:solidFill>
                <a:srgbClr val="000000"/>
              </a:solidFill>
              <a:latin typeface="Arial"/>
              <a:cs typeface="Arial"/>
            </a:rPr>
            <a:t>Variar la tª es siempre un impacto negativo, ya que el ecosistema pierde su equilibrio.</a:t>
          </a:r>
        </a:p>
        <a:p>
          <a:pPr algn="l" rtl="0">
            <a:defRPr sz="1000"/>
          </a:pPr>
          <a:r>
            <a:rPr lang="es-ES" sz="800" b="0" i="0" u="none" strike="noStrike" baseline="0">
              <a:solidFill>
                <a:srgbClr val="000000"/>
              </a:solidFill>
              <a:latin typeface="Arial"/>
              <a:cs typeface="Arial"/>
            </a:rPr>
            <a:t>SNF = National Sanitation Found</a:t>
          </a:r>
        </a:p>
        <a:p>
          <a:pPr algn="l" rtl="0">
            <a:defRPr sz="1000"/>
          </a:pPr>
          <a:r>
            <a:rPr lang="es-ES" sz="800" b="0" i="0" u="none" strike="noStrike" baseline="0">
              <a:solidFill>
                <a:srgbClr val="000000"/>
              </a:solidFill>
              <a:latin typeface="Arial"/>
              <a:cs typeface="Arial"/>
            </a:rPr>
            <a:t>Ind (sin) = 0</a:t>
          </a:r>
          <a:endParaRPr lang="es-ES" sz="800" b="0"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a:p>
          <a:pPr algn="l" rtl="0">
            <a:defRPr sz="1000"/>
          </a:pPr>
          <a:endParaRPr lang="es-ES" sz="800" b="1" i="0" u="sng" strike="noStrike" baseline="0">
            <a:solidFill>
              <a:srgbClr val="000000"/>
            </a:solidFill>
            <a:latin typeface="Arial"/>
            <a:cs typeface="Arial"/>
          </a:endParaRP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01-044%20Indicadores%20Air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d%20041-06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IA\Indicadores%2082,84,90,302,303,3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Ind%20082-09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i&#241;i%20-%20kai%20EI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perfil\Zuri&#241;e\Mis%20documentos\zuri\ZURI1\ingenier&#237;a\asignaturas\impacto%20ambiental\pr&#225;cticas%20excel\excel%20E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3"/>
      <sheetName val="4-7"/>
      <sheetName val="8-11"/>
      <sheetName val="12-15"/>
      <sheetName val="16"/>
      <sheetName val="17-23"/>
      <sheetName val="24-30"/>
      <sheetName val="31"/>
      <sheetName val="32-34"/>
      <sheetName val="35-39"/>
      <sheetName val="40"/>
      <sheetName val="41-4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53">
          <cell r="D53">
            <v>3</v>
          </cell>
        </row>
      </sheetData>
      <sheetData sheetId="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efreshError="1">
        <row r="5">
          <cell r="AJ5">
            <v>1.4</v>
          </cell>
        </row>
      </sheetData>
      <sheetData sheetId="1" refreshError="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5">
          <cell r="J5">
            <v>3</v>
          </cell>
          <cell r="P5">
            <v>1</v>
          </cell>
          <cell r="V5">
            <v>40</v>
          </cell>
          <cell r="AB5">
            <v>2</v>
          </cell>
          <cell r="AH5">
            <v>2</v>
          </cell>
          <cell r="AN5">
            <v>1.4</v>
          </cell>
          <cell r="AT5">
            <v>120</v>
          </cell>
          <cell r="AZ5">
            <v>9</v>
          </cell>
        </row>
      </sheetData>
      <sheetData sheetId="1"/>
      <sheetData sheetId="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efreshError="1">
        <row r="7">
          <cell r="D7">
            <v>80</v>
          </cell>
        </row>
      </sheetData>
      <sheetData sheetId="1" refreshError="1"/>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gistro"/>
      <sheetName val="Cualitativa"/>
      <sheetName val="Cuantitativa"/>
      <sheetName val="Comentarios Cualitativa"/>
      <sheetName val="Comentarios Cuantitativa"/>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B8"/>
  <sheetViews>
    <sheetView tabSelected="1" workbookViewId="0" topLeftCell="A1">
      <selection activeCell="B26" sqref="B26"/>
    </sheetView>
  </sheetViews>
  <sheetFormatPr defaultColWidth="13.33203125" defaultRowHeight="14.25"/>
  <cols>
    <col min="1" max="1" width="13.33203125" style="188" customWidth="1"/>
    <col min="2" max="2" width="114.5" style="188" customWidth="1"/>
    <col min="3" max="16384" width="13.33203125" style="188" customWidth="1"/>
  </cols>
  <sheetData>
    <row r="1" spans="1:2" ht="14.25">
      <c r="A1" s="188" t="s">
        <v>273</v>
      </c>
      <c r="B1" s="188" t="s">
        <v>274</v>
      </c>
    </row>
    <row r="3" spans="1:2" ht="14.25">
      <c r="A3" s="188" t="s">
        <v>275</v>
      </c>
      <c r="B3" s="188" t="s">
        <v>276</v>
      </c>
    </row>
    <row r="4" ht="14.25">
      <c r="B4" s="188" t="s">
        <v>277</v>
      </c>
    </row>
    <row r="5" ht="14.25">
      <c r="B5" s="188" t="s">
        <v>278</v>
      </c>
    </row>
    <row r="6" ht="14.25">
      <c r="B6" s="188" t="s">
        <v>279</v>
      </c>
    </row>
    <row r="8" spans="1:2" ht="14.25">
      <c r="A8" s="188" t="s">
        <v>280</v>
      </c>
      <c r="B8" s="188" t="s">
        <v>281</v>
      </c>
    </row>
  </sheetData>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E56"/>
  <sheetViews>
    <sheetView zoomScale="75" zoomScaleNormal="75" workbookViewId="0" topLeftCell="A28">
      <selection activeCell="B35" sqref="B35"/>
    </sheetView>
  </sheetViews>
  <sheetFormatPr defaultColWidth="12" defaultRowHeight="12.75" customHeight="1"/>
  <cols>
    <col min="1" max="1" width="25.83203125" style="39" customWidth="1"/>
    <col min="2" max="2" width="40.83203125" style="39" customWidth="1"/>
    <col min="3" max="5" width="22.83203125" style="39" customWidth="1"/>
    <col min="6" max="16384" width="12" style="39" customWidth="1"/>
  </cols>
  <sheetData>
    <row r="1" spans="1:5" ht="30" customHeight="1" thickTop="1">
      <c r="A1" s="1" t="s">
        <v>7</v>
      </c>
      <c r="B1" s="26">
        <v>79</v>
      </c>
      <c r="C1" s="3" t="s">
        <v>5</v>
      </c>
      <c r="D1" s="27" t="s">
        <v>16</v>
      </c>
      <c r="E1" s="28" t="s">
        <v>15</v>
      </c>
    </row>
    <row r="2" spans="1:5" ht="30" customHeight="1">
      <c r="A2" s="6" t="s">
        <v>2</v>
      </c>
      <c r="B2" s="29" t="s">
        <v>18</v>
      </c>
      <c r="C2" s="30"/>
      <c r="D2" s="31"/>
      <c r="E2" s="32"/>
    </row>
    <row r="3" spans="1:5" ht="30" customHeight="1">
      <c r="A3" s="6" t="s">
        <v>10</v>
      </c>
      <c r="B3" s="29"/>
      <c r="C3" s="30"/>
      <c r="D3" s="31"/>
      <c r="E3" s="32"/>
    </row>
    <row r="4" spans="1:5" ht="30" customHeight="1" thickBot="1">
      <c r="A4" s="6" t="s">
        <v>3</v>
      </c>
      <c r="B4" s="29"/>
      <c r="C4" s="33"/>
      <c r="D4" s="34"/>
      <c r="E4" s="35"/>
    </row>
    <row r="5" spans="1:5" ht="30" customHeight="1">
      <c r="A5" s="6" t="s">
        <v>4</v>
      </c>
      <c r="B5" s="29" t="s">
        <v>21</v>
      </c>
      <c r="C5" s="10" t="s">
        <v>6</v>
      </c>
      <c r="D5" s="11">
        <v>50</v>
      </c>
      <c r="E5" s="36"/>
    </row>
    <row r="6" spans="1:5" ht="30" customHeight="1" thickBot="1">
      <c r="A6" s="12" t="s">
        <v>11</v>
      </c>
      <c r="B6" s="37" t="s">
        <v>66</v>
      </c>
      <c r="C6" s="13" t="s">
        <v>0</v>
      </c>
      <c r="D6" s="14">
        <f>IF(D5&lt;0,"valor del fuera de rango",IF(D5&lt;=100,-0.0001*(D5^2)+1,"valor del indicador fuera rango"))</f>
        <v>0.75</v>
      </c>
      <c r="E6" s="38"/>
    </row>
    <row r="7" spans="1:5" ht="30" customHeight="1">
      <c r="A7" s="15" t="s">
        <v>9</v>
      </c>
      <c r="B7" s="16" t="s">
        <v>0</v>
      </c>
      <c r="C7" s="189" t="s">
        <v>8</v>
      </c>
      <c r="D7" s="190"/>
      <c r="E7" s="191"/>
    </row>
    <row r="8" spans="1:5" ht="12.95" customHeight="1">
      <c r="A8" s="17">
        <v>0</v>
      </c>
      <c r="B8" s="18">
        <f>(-0.0001)*A8^2+1</f>
        <v>1</v>
      </c>
      <c r="C8" s="40"/>
      <c r="D8" s="40"/>
      <c r="E8" s="41"/>
    </row>
    <row r="9" spans="1:5" ht="12.95" customHeight="1">
      <c r="A9" s="21">
        <v>5</v>
      </c>
      <c r="B9" s="18">
        <f aca="true" t="shared" si="0" ref="B9:B27">(-0.0001)*A9^2+1</f>
        <v>0.9975</v>
      </c>
      <c r="C9" s="42"/>
      <c r="D9" s="40"/>
      <c r="E9" s="41"/>
    </row>
    <row r="10" spans="1:5" ht="12.95" customHeight="1">
      <c r="A10" s="17">
        <v>10</v>
      </c>
      <c r="B10" s="18">
        <f t="shared" si="0"/>
        <v>0.99</v>
      </c>
      <c r="C10" s="42"/>
      <c r="D10" s="40"/>
      <c r="E10" s="41"/>
    </row>
    <row r="11" spans="1:5" ht="12.95" customHeight="1">
      <c r="A11" s="21">
        <v>15</v>
      </c>
      <c r="B11" s="18">
        <f t="shared" si="0"/>
        <v>0.9775</v>
      </c>
      <c r="C11" s="42"/>
      <c r="D11" s="40"/>
      <c r="E11" s="41"/>
    </row>
    <row r="12" spans="1:5" ht="12.95" customHeight="1">
      <c r="A12" s="17">
        <v>20</v>
      </c>
      <c r="B12" s="18">
        <f t="shared" si="0"/>
        <v>0.96</v>
      </c>
      <c r="C12" s="42"/>
      <c r="D12" s="40"/>
      <c r="E12" s="41"/>
    </row>
    <row r="13" spans="1:5" ht="12.95" customHeight="1">
      <c r="A13" s="21">
        <v>25</v>
      </c>
      <c r="B13" s="18">
        <f t="shared" si="0"/>
        <v>0.9375</v>
      </c>
      <c r="C13" s="42"/>
      <c r="D13" s="40"/>
      <c r="E13" s="41"/>
    </row>
    <row r="14" spans="1:5" ht="12.95" customHeight="1">
      <c r="A14" s="17">
        <v>30</v>
      </c>
      <c r="B14" s="18">
        <f t="shared" si="0"/>
        <v>0.91</v>
      </c>
      <c r="C14" s="42"/>
      <c r="D14" s="40"/>
      <c r="E14" s="41"/>
    </row>
    <row r="15" spans="1:5" ht="12.95" customHeight="1">
      <c r="A15" s="21">
        <v>35</v>
      </c>
      <c r="B15" s="18">
        <f t="shared" si="0"/>
        <v>0.8775</v>
      </c>
      <c r="C15" s="42"/>
      <c r="D15" s="40"/>
      <c r="E15" s="41"/>
    </row>
    <row r="16" spans="1:5" ht="12.95" customHeight="1">
      <c r="A16" s="17">
        <v>40</v>
      </c>
      <c r="B16" s="18">
        <f t="shared" si="0"/>
        <v>0.84</v>
      </c>
      <c r="C16" s="42"/>
      <c r="D16" s="40"/>
      <c r="E16" s="41"/>
    </row>
    <row r="17" spans="1:5" ht="12.95" customHeight="1">
      <c r="A17" s="21">
        <v>45</v>
      </c>
      <c r="B17" s="18">
        <f t="shared" si="0"/>
        <v>0.7975</v>
      </c>
      <c r="C17" s="42"/>
      <c r="D17" s="40"/>
      <c r="E17" s="41"/>
    </row>
    <row r="18" spans="1:5" ht="12.95" customHeight="1">
      <c r="A18" s="17">
        <v>50</v>
      </c>
      <c r="B18" s="18">
        <f t="shared" si="0"/>
        <v>0.75</v>
      </c>
      <c r="C18" s="42"/>
      <c r="D18" s="40"/>
      <c r="E18" s="41"/>
    </row>
    <row r="19" spans="1:5" ht="12.95" customHeight="1">
      <c r="A19" s="22">
        <v>55</v>
      </c>
      <c r="B19" s="18">
        <f t="shared" si="0"/>
        <v>0.6975</v>
      </c>
      <c r="C19" s="42"/>
      <c r="D19" s="40"/>
      <c r="E19" s="41"/>
    </row>
    <row r="20" spans="1:5" ht="12.95" customHeight="1">
      <c r="A20" s="23">
        <v>60</v>
      </c>
      <c r="B20" s="18">
        <f t="shared" si="0"/>
        <v>0.6399999999999999</v>
      </c>
      <c r="C20" s="42"/>
      <c r="D20" s="40"/>
      <c r="E20" s="41"/>
    </row>
    <row r="21" spans="1:5" ht="12.95" customHeight="1">
      <c r="A21" s="22">
        <v>65</v>
      </c>
      <c r="B21" s="18">
        <f t="shared" si="0"/>
        <v>0.5774999999999999</v>
      </c>
      <c r="C21" s="42"/>
      <c r="D21" s="40"/>
      <c r="E21" s="41"/>
    </row>
    <row r="22" spans="1:5" ht="12.95" customHeight="1">
      <c r="A22" s="23">
        <v>70</v>
      </c>
      <c r="B22" s="18">
        <f t="shared" si="0"/>
        <v>0.51</v>
      </c>
      <c r="C22" s="42"/>
      <c r="D22" s="40"/>
      <c r="E22" s="41"/>
    </row>
    <row r="23" spans="1:5" ht="12.95" customHeight="1">
      <c r="A23" s="22">
        <v>75</v>
      </c>
      <c r="B23" s="18">
        <f t="shared" si="0"/>
        <v>0.4375</v>
      </c>
      <c r="C23" s="42"/>
      <c r="D23" s="40"/>
      <c r="E23" s="41"/>
    </row>
    <row r="24" spans="1:5" ht="12.95" customHeight="1">
      <c r="A24" s="23">
        <v>80</v>
      </c>
      <c r="B24" s="18">
        <f t="shared" si="0"/>
        <v>0.36</v>
      </c>
      <c r="C24" s="42"/>
      <c r="D24" s="40"/>
      <c r="E24" s="41"/>
    </row>
    <row r="25" spans="1:5" ht="12.95" customHeight="1">
      <c r="A25" s="22">
        <v>85</v>
      </c>
      <c r="B25" s="18">
        <f t="shared" si="0"/>
        <v>0.27749999999999997</v>
      </c>
      <c r="C25" s="42"/>
      <c r="D25" s="40"/>
      <c r="E25" s="41"/>
    </row>
    <row r="26" spans="1:5" ht="12.95" customHeight="1">
      <c r="A26" s="23">
        <v>90</v>
      </c>
      <c r="B26" s="18">
        <f t="shared" si="0"/>
        <v>0.18999999999999995</v>
      </c>
      <c r="C26" s="42"/>
      <c r="D26" s="40"/>
      <c r="E26" s="41"/>
    </row>
    <row r="27" spans="1:5" ht="12.95" customHeight="1" thickBot="1">
      <c r="A27" s="45">
        <v>100</v>
      </c>
      <c r="B27" s="46">
        <f t="shared" si="0"/>
        <v>0</v>
      </c>
      <c r="C27" s="47"/>
      <c r="D27" s="43"/>
      <c r="E27" s="44"/>
    </row>
    <row r="28" ht="12.95" customHeight="1" thickTop="1"/>
    <row r="29" ht="12.95" customHeight="1" thickBot="1"/>
    <row r="30" spans="1:5" ht="30" customHeight="1" thickTop="1">
      <c r="A30" s="1" t="s">
        <v>7</v>
      </c>
      <c r="B30" s="26">
        <v>79</v>
      </c>
      <c r="C30" s="3" t="s">
        <v>5</v>
      </c>
      <c r="D30" s="27" t="s">
        <v>16</v>
      </c>
      <c r="E30" s="28" t="s">
        <v>15</v>
      </c>
    </row>
    <row r="31" spans="1:5" ht="30" customHeight="1">
      <c r="A31" s="6" t="s">
        <v>2</v>
      </c>
      <c r="B31" s="29" t="s">
        <v>17</v>
      </c>
      <c r="C31" s="30"/>
      <c r="D31" s="31"/>
      <c r="E31" s="32"/>
    </row>
    <row r="32" spans="1:5" ht="30" customHeight="1">
      <c r="A32" s="6" t="s">
        <v>10</v>
      </c>
      <c r="B32" s="29"/>
      <c r="C32" s="30"/>
      <c r="D32" s="31"/>
      <c r="E32" s="32"/>
    </row>
    <row r="33" spans="1:5" ht="30" customHeight="1" thickBot="1">
      <c r="A33" s="6" t="s">
        <v>3</v>
      </c>
      <c r="B33" s="29"/>
      <c r="C33" s="33"/>
      <c r="D33" s="34"/>
      <c r="E33" s="35"/>
    </row>
    <row r="34" spans="1:5" ht="30" customHeight="1">
      <c r="A34" s="6" t="s">
        <v>4</v>
      </c>
      <c r="B34" s="29" t="s">
        <v>21</v>
      </c>
      <c r="C34" s="10" t="s">
        <v>6</v>
      </c>
      <c r="D34" s="11">
        <v>50</v>
      </c>
      <c r="E34" s="36"/>
    </row>
    <row r="35" spans="1:5" ht="30" customHeight="1" thickBot="1">
      <c r="A35" s="12" t="s">
        <v>11</v>
      </c>
      <c r="B35" s="37" t="s">
        <v>66</v>
      </c>
      <c r="C35" s="13" t="s">
        <v>0</v>
      </c>
      <c r="D35" s="14">
        <f>IF(D34&lt;0,"valor del fuera de rango",IF(D34&lt;=100,-0.0001*(D34^2)+1,"valor del indicador fuera rango"))</f>
        <v>0.75</v>
      </c>
      <c r="E35" s="38"/>
    </row>
    <row r="36" spans="1:5" ht="30" customHeight="1">
      <c r="A36" s="15" t="s">
        <v>9</v>
      </c>
      <c r="B36" s="16" t="s">
        <v>0</v>
      </c>
      <c r="C36" s="189" t="s">
        <v>8</v>
      </c>
      <c r="D36" s="190"/>
      <c r="E36" s="191"/>
    </row>
    <row r="37" spans="1:5" ht="12.95" customHeight="1">
      <c r="A37" s="17">
        <v>0</v>
      </c>
      <c r="B37" s="18">
        <f>(-0.0001)*A37^2+1</f>
        <v>1</v>
      </c>
      <c r="C37" s="40"/>
      <c r="D37" s="40"/>
      <c r="E37" s="41"/>
    </row>
    <row r="38" spans="1:5" ht="12.95" customHeight="1">
      <c r="A38" s="21">
        <v>5</v>
      </c>
      <c r="B38" s="18">
        <f aca="true" t="shared" si="1" ref="B38:B56">(-0.0001)*A38^2+1</f>
        <v>0.9975</v>
      </c>
      <c r="C38" s="42"/>
      <c r="D38" s="40"/>
      <c r="E38" s="41"/>
    </row>
    <row r="39" spans="1:5" ht="12.95" customHeight="1">
      <c r="A39" s="17">
        <v>10</v>
      </c>
      <c r="B39" s="18">
        <f t="shared" si="1"/>
        <v>0.99</v>
      </c>
      <c r="C39" s="42"/>
      <c r="D39" s="40"/>
      <c r="E39" s="41"/>
    </row>
    <row r="40" spans="1:5" ht="12.95" customHeight="1">
      <c r="A40" s="21">
        <v>15</v>
      </c>
      <c r="B40" s="18">
        <f t="shared" si="1"/>
        <v>0.9775</v>
      </c>
      <c r="C40" s="42"/>
      <c r="D40" s="40"/>
      <c r="E40" s="41"/>
    </row>
    <row r="41" spans="1:5" ht="12.95" customHeight="1">
      <c r="A41" s="17">
        <v>20</v>
      </c>
      <c r="B41" s="18">
        <f t="shared" si="1"/>
        <v>0.96</v>
      </c>
      <c r="C41" s="42"/>
      <c r="D41" s="40"/>
      <c r="E41" s="41"/>
    </row>
    <row r="42" spans="1:5" ht="12.95" customHeight="1">
      <c r="A42" s="21">
        <v>25</v>
      </c>
      <c r="B42" s="18">
        <f t="shared" si="1"/>
        <v>0.9375</v>
      </c>
      <c r="C42" s="42"/>
      <c r="D42" s="40"/>
      <c r="E42" s="41"/>
    </row>
    <row r="43" spans="1:5" ht="12.95" customHeight="1">
      <c r="A43" s="17">
        <v>30</v>
      </c>
      <c r="B43" s="18">
        <f t="shared" si="1"/>
        <v>0.91</v>
      </c>
      <c r="C43" s="42"/>
      <c r="D43" s="40"/>
      <c r="E43" s="41"/>
    </row>
    <row r="44" spans="1:5" ht="12.95" customHeight="1">
      <c r="A44" s="21">
        <v>35</v>
      </c>
      <c r="B44" s="18">
        <f t="shared" si="1"/>
        <v>0.8775</v>
      </c>
      <c r="C44" s="42"/>
      <c r="D44" s="40"/>
      <c r="E44" s="41"/>
    </row>
    <row r="45" spans="1:5" ht="12.95" customHeight="1">
      <c r="A45" s="17">
        <v>40</v>
      </c>
      <c r="B45" s="18">
        <f t="shared" si="1"/>
        <v>0.84</v>
      </c>
      <c r="C45" s="42"/>
      <c r="D45" s="40"/>
      <c r="E45" s="41"/>
    </row>
    <row r="46" spans="1:5" ht="12.95" customHeight="1">
      <c r="A46" s="21">
        <v>45</v>
      </c>
      <c r="B46" s="18">
        <f t="shared" si="1"/>
        <v>0.7975</v>
      </c>
      <c r="C46" s="42"/>
      <c r="D46" s="40"/>
      <c r="E46" s="41"/>
    </row>
    <row r="47" spans="1:5" ht="12.95" customHeight="1">
      <c r="A47" s="17">
        <v>50</v>
      </c>
      <c r="B47" s="18">
        <f t="shared" si="1"/>
        <v>0.75</v>
      </c>
      <c r="C47" s="42"/>
      <c r="D47" s="40"/>
      <c r="E47" s="41"/>
    </row>
    <row r="48" spans="1:5" ht="12.95" customHeight="1">
      <c r="A48" s="22">
        <v>55</v>
      </c>
      <c r="B48" s="18">
        <f t="shared" si="1"/>
        <v>0.6975</v>
      </c>
      <c r="C48" s="42"/>
      <c r="D48" s="40"/>
      <c r="E48" s="41"/>
    </row>
    <row r="49" spans="1:5" ht="12.95" customHeight="1">
      <c r="A49" s="23">
        <v>60</v>
      </c>
      <c r="B49" s="18">
        <f t="shared" si="1"/>
        <v>0.6399999999999999</v>
      </c>
      <c r="C49" s="42"/>
      <c r="D49" s="40"/>
      <c r="E49" s="41"/>
    </row>
    <row r="50" spans="1:5" ht="12.95" customHeight="1">
      <c r="A50" s="22">
        <v>65</v>
      </c>
      <c r="B50" s="18">
        <f t="shared" si="1"/>
        <v>0.5774999999999999</v>
      </c>
      <c r="C50" s="42"/>
      <c r="D50" s="40"/>
      <c r="E50" s="41"/>
    </row>
    <row r="51" spans="1:5" ht="12.95" customHeight="1">
      <c r="A51" s="23">
        <v>70</v>
      </c>
      <c r="B51" s="18">
        <f t="shared" si="1"/>
        <v>0.51</v>
      </c>
      <c r="C51" s="42"/>
      <c r="D51" s="40"/>
      <c r="E51" s="41"/>
    </row>
    <row r="52" spans="1:5" ht="12.95" customHeight="1">
      <c r="A52" s="22">
        <v>75</v>
      </c>
      <c r="B52" s="18">
        <f t="shared" si="1"/>
        <v>0.4375</v>
      </c>
      <c r="C52" s="42"/>
      <c r="D52" s="40"/>
      <c r="E52" s="41"/>
    </row>
    <row r="53" spans="1:5" ht="12.95" customHeight="1">
      <c r="A53" s="23">
        <v>80</v>
      </c>
      <c r="B53" s="18">
        <f t="shared" si="1"/>
        <v>0.36</v>
      </c>
      <c r="C53" s="42"/>
      <c r="D53" s="40"/>
      <c r="E53" s="41"/>
    </row>
    <row r="54" spans="1:5" ht="12.95" customHeight="1">
      <c r="A54" s="22">
        <v>85</v>
      </c>
      <c r="B54" s="18">
        <f t="shared" si="1"/>
        <v>0.27749999999999997</v>
      </c>
      <c r="C54" s="42"/>
      <c r="D54" s="40"/>
      <c r="E54" s="41"/>
    </row>
    <row r="55" spans="1:5" ht="12.95" customHeight="1">
      <c r="A55" s="23">
        <v>90</v>
      </c>
      <c r="B55" s="18">
        <f t="shared" si="1"/>
        <v>0.18999999999999995</v>
      </c>
      <c r="C55" s="42"/>
      <c r="D55" s="40"/>
      <c r="E55" s="41"/>
    </row>
    <row r="56" spans="1:5" ht="12.95" customHeight="1" thickBot="1">
      <c r="A56" s="45">
        <v>100</v>
      </c>
      <c r="B56" s="46">
        <f t="shared" si="1"/>
        <v>0</v>
      </c>
      <c r="C56" s="47"/>
      <c r="D56" s="43"/>
      <c r="E56" s="44"/>
    </row>
    <row r="57" ht="12.95" customHeight="1" thickTop="1"/>
  </sheetData>
  <mergeCells count="2">
    <mergeCell ref="C7:E7"/>
    <mergeCell ref="C36:E36"/>
  </mergeCells>
  <printOptions/>
  <pageMargins left="0.75" right="0.75" top="1" bottom="1"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E36"/>
  <sheetViews>
    <sheetView workbookViewId="0" topLeftCell="A1">
      <selection activeCell="B6" sqref="B6"/>
    </sheetView>
  </sheetViews>
  <sheetFormatPr defaultColWidth="22.83203125" defaultRowHeight="12.75" customHeight="1"/>
  <cols>
    <col min="1" max="1" width="25.83203125" style="0" customWidth="1"/>
    <col min="2" max="2" width="45.83203125" style="0" customWidth="1"/>
  </cols>
  <sheetData>
    <row r="1" spans="1:5" ht="30" customHeight="1" thickTop="1">
      <c r="A1" s="1" t="s">
        <v>7</v>
      </c>
      <c r="B1" s="2">
        <v>81</v>
      </c>
      <c r="C1" s="3" t="s">
        <v>5</v>
      </c>
      <c r="D1" s="4" t="s">
        <v>12</v>
      </c>
      <c r="E1" s="50" t="s">
        <v>13</v>
      </c>
    </row>
    <row r="2" spans="1:5" ht="30" customHeight="1">
      <c r="A2" s="6" t="s">
        <v>2</v>
      </c>
      <c r="B2" s="7" t="s">
        <v>19</v>
      </c>
      <c r="C2" s="8"/>
      <c r="D2" s="186" t="s">
        <v>20</v>
      </c>
      <c r="E2" s="9" t="s">
        <v>14</v>
      </c>
    </row>
    <row r="3" spans="1:5" ht="30" customHeight="1">
      <c r="A3" s="6" t="s">
        <v>10</v>
      </c>
      <c r="B3" s="29" t="s">
        <v>22</v>
      </c>
      <c r="C3" s="30"/>
      <c r="D3" s="31"/>
      <c r="E3" s="32"/>
    </row>
    <row r="4" spans="1:5" ht="30" customHeight="1" thickBot="1">
      <c r="A4" s="6" t="s">
        <v>3</v>
      </c>
      <c r="B4" s="29"/>
      <c r="C4" s="33"/>
      <c r="D4" s="34"/>
      <c r="E4" s="35"/>
    </row>
    <row r="5" spans="1:5" ht="30" customHeight="1">
      <c r="A5" s="6" t="s">
        <v>4</v>
      </c>
      <c r="B5" s="29" t="s">
        <v>21</v>
      </c>
      <c r="C5" s="10" t="s">
        <v>6</v>
      </c>
      <c r="D5" s="11">
        <v>50</v>
      </c>
      <c r="E5" s="36"/>
    </row>
    <row r="6" spans="1:5" ht="30" customHeight="1" thickBot="1">
      <c r="A6" s="12" t="s">
        <v>11</v>
      </c>
      <c r="B6" s="37" t="s">
        <v>66</v>
      </c>
      <c r="C6" s="13" t="s">
        <v>0</v>
      </c>
      <c r="D6" s="14">
        <f>IF(D5&lt;0,"valor del indicador fuera de rango",IF(D5&lt;=50,1,IF(D5&lt;=100,(-0.0004*(D5^2))+(0.04*D5),"valor del indicador fuera de rango")))</f>
        <v>1</v>
      </c>
      <c r="E6" s="38"/>
    </row>
    <row r="7" spans="1:5" ht="30" customHeight="1">
      <c r="A7" s="15" t="s">
        <v>9</v>
      </c>
      <c r="B7" s="16" t="s">
        <v>0</v>
      </c>
      <c r="C7" s="189" t="s">
        <v>8</v>
      </c>
      <c r="D7" s="190"/>
      <c r="E7" s="191"/>
    </row>
    <row r="8" spans="1:5" ht="12.95" customHeight="1">
      <c r="A8" s="17">
        <v>0</v>
      </c>
      <c r="B8" s="18">
        <f>1</f>
        <v>1</v>
      </c>
      <c r="C8" s="40"/>
      <c r="D8" s="40"/>
      <c r="E8" s="41"/>
    </row>
    <row r="9" spans="1:5" ht="12.95" customHeight="1">
      <c r="A9" s="21">
        <v>5</v>
      </c>
      <c r="B9" s="18">
        <f>1</f>
        <v>1</v>
      </c>
      <c r="C9" s="42"/>
      <c r="D9" s="40"/>
      <c r="E9" s="41"/>
    </row>
    <row r="10" spans="1:5" ht="12.95" customHeight="1">
      <c r="A10" s="17">
        <v>10</v>
      </c>
      <c r="B10" s="18">
        <f>1</f>
        <v>1</v>
      </c>
      <c r="C10" s="42"/>
      <c r="D10" s="40"/>
      <c r="E10" s="41"/>
    </row>
    <row r="11" spans="1:5" ht="12.95" customHeight="1">
      <c r="A11" s="21">
        <v>15</v>
      </c>
      <c r="B11" s="18">
        <f>1</f>
        <v>1</v>
      </c>
      <c r="C11" s="42"/>
      <c r="D11" s="40"/>
      <c r="E11" s="41"/>
    </row>
    <row r="12" spans="1:5" ht="12.95" customHeight="1">
      <c r="A12" s="17">
        <v>20</v>
      </c>
      <c r="B12" s="18">
        <f>1</f>
        <v>1</v>
      </c>
      <c r="C12" s="42"/>
      <c r="D12" s="40"/>
      <c r="E12" s="41"/>
    </row>
    <row r="13" spans="1:5" ht="12.95" customHeight="1">
      <c r="A13" s="21">
        <v>25</v>
      </c>
      <c r="B13" s="18">
        <f>1</f>
        <v>1</v>
      </c>
      <c r="C13" s="42"/>
      <c r="D13" s="40"/>
      <c r="E13" s="41"/>
    </row>
    <row r="14" spans="1:5" ht="12.95" customHeight="1">
      <c r="A14" s="17">
        <v>30</v>
      </c>
      <c r="B14" s="18">
        <f>1</f>
        <v>1</v>
      </c>
      <c r="C14" s="42"/>
      <c r="D14" s="40"/>
      <c r="E14" s="41"/>
    </row>
    <row r="15" spans="1:5" ht="12.95" customHeight="1">
      <c r="A15" s="21">
        <v>35</v>
      </c>
      <c r="B15" s="18">
        <f>1</f>
        <v>1</v>
      </c>
      <c r="C15" s="42"/>
      <c r="D15" s="40"/>
      <c r="E15" s="41"/>
    </row>
    <row r="16" spans="1:5" ht="12.95" customHeight="1">
      <c r="A16" s="17">
        <v>40</v>
      </c>
      <c r="B16" s="18">
        <f>1</f>
        <v>1</v>
      </c>
      <c r="C16" s="42"/>
      <c r="D16" s="40"/>
      <c r="E16" s="41"/>
    </row>
    <row r="17" spans="1:5" ht="12.95" customHeight="1">
      <c r="A17" s="21">
        <v>45</v>
      </c>
      <c r="B17" s="18">
        <f>1</f>
        <v>1</v>
      </c>
      <c r="C17" s="42"/>
      <c r="D17" s="40"/>
      <c r="E17" s="41"/>
    </row>
    <row r="18" spans="1:5" ht="12.95" customHeight="1">
      <c r="A18" s="17">
        <v>50</v>
      </c>
      <c r="B18" s="18">
        <f>1</f>
        <v>1</v>
      </c>
      <c r="C18" s="42"/>
      <c r="D18" s="40"/>
      <c r="E18" s="41"/>
    </row>
    <row r="19" spans="1:5" ht="12.95" customHeight="1">
      <c r="A19" s="48">
        <f>+A18+3</f>
        <v>53</v>
      </c>
      <c r="B19" s="49">
        <f>(-0.0004)*A19^2+(0.04)*A19</f>
        <v>0.9964</v>
      </c>
      <c r="C19" s="42"/>
      <c r="D19" s="40"/>
      <c r="E19" s="41"/>
    </row>
    <row r="20" spans="1:5" ht="12.95" customHeight="1">
      <c r="A20" s="48">
        <f aca="true" t="shared" si="0" ref="A20:A34">+A19+3</f>
        <v>56</v>
      </c>
      <c r="B20" s="49">
        <f aca="true" t="shared" si="1" ref="B20:B36">(-0.0004)*A20^2+(0.04)*A20</f>
        <v>0.9856000000000003</v>
      </c>
      <c r="C20" s="42"/>
      <c r="D20" s="40"/>
      <c r="E20" s="41"/>
    </row>
    <row r="21" spans="1:5" ht="12.95" customHeight="1">
      <c r="A21" s="48">
        <f t="shared" si="0"/>
        <v>59</v>
      </c>
      <c r="B21" s="49">
        <f t="shared" si="1"/>
        <v>0.9675999999999998</v>
      </c>
      <c r="C21" s="42"/>
      <c r="D21" s="40"/>
      <c r="E21" s="41"/>
    </row>
    <row r="22" spans="1:5" ht="12.95" customHeight="1">
      <c r="A22" s="48">
        <f t="shared" si="0"/>
        <v>62</v>
      </c>
      <c r="B22" s="49">
        <f t="shared" si="1"/>
        <v>0.9423999999999999</v>
      </c>
      <c r="C22" s="42"/>
      <c r="D22" s="40"/>
      <c r="E22" s="41"/>
    </row>
    <row r="23" spans="1:5" ht="12.95" customHeight="1">
      <c r="A23" s="48">
        <f t="shared" si="0"/>
        <v>65</v>
      </c>
      <c r="B23" s="49">
        <f t="shared" si="1"/>
        <v>0.9099999999999999</v>
      </c>
      <c r="C23" s="42"/>
      <c r="D23" s="40"/>
      <c r="E23" s="41"/>
    </row>
    <row r="24" spans="1:5" ht="12.95" customHeight="1">
      <c r="A24" s="48">
        <f t="shared" si="0"/>
        <v>68</v>
      </c>
      <c r="B24" s="49">
        <f t="shared" si="1"/>
        <v>0.8704000000000001</v>
      </c>
      <c r="C24" s="42"/>
      <c r="D24" s="40"/>
      <c r="E24" s="41"/>
    </row>
    <row r="25" spans="1:5" ht="12.95" customHeight="1">
      <c r="A25" s="48">
        <f t="shared" si="0"/>
        <v>71</v>
      </c>
      <c r="B25" s="49">
        <f t="shared" si="1"/>
        <v>0.8235999999999999</v>
      </c>
      <c r="C25" s="42"/>
      <c r="D25" s="40"/>
      <c r="E25" s="41"/>
    </row>
    <row r="26" spans="1:5" ht="12.95" customHeight="1">
      <c r="A26" s="48">
        <f t="shared" si="0"/>
        <v>74</v>
      </c>
      <c r="B26" s="49">
        <f t="shared" si="1"/>
        <v>0.7696000000000001</v>
      </c>
      <c r="C26" s="42"/>
      <c r="D26" s="40"/>
      <c r="E26" s="41"/>
    </row>
    <row r="27" spans="1:5" ht="12.95" customHeight="1" thickBot="1">
      <c r="A27" s="48">
        <f t="shared" si="0"/>
        <v>77</v>
      </c>
      <c r="B27" s="49">
        <f t="shared" si="1"/>
        <v>0.7084000000000001</v>
      </c>
      <c r="C27" s="47"/>
      <c r="D27" s="43"/>
      <c r="E27" s="44"/>
    </row>
    <row r="28" spans="1:5" ht="12.95" customHeight="1" thickTop="1">
      <c r="A28" s="48">
        <f>+A27+3</f>
        <v>80</v>
      </c>
      <c r="B28" s="49">
        <f t="shared" si="1"/>
        <v>0.6400000000000001</v>
      </c>
      <c r="C28" s="19"/>
      <c r="D28" s="19"/>
      <c r="E28" s="20"/>
    </row>
    <row r="29" spans="1:5" ht="12.95" customHeight="1">
      <c r="A29" s="48">
        <f t="shared" si="0"/>
        <v>83</v>
      </c>
      <c r="B29" s="49">
        <f t="shared" si="1"/>
        <v>0.5644</v>
      </c>
      <c r="C29" s="19"/>
      <c r="D29" s="19"/>
      <c r="E29" s="20"/>
    </row>
    <row r="30" spans="1:5" ht="12.95" customHeight="1">
      <c r="A30" s="48">
        <f t="shared" si="0"/>
        <v>86</v>
      </c>
      <c r="B30" s="49">
        <f t="shared" si="1"/>
        <v>0.4815999999999998</v>
      </c>
      <c r="C30" s="19"/>
      <c r="D30" s="19"/>
      <c r="E30" s="20"/>
    </row>
    <row r="31" spans="1:5" ht="12.95" customHeight="1">
      <c r="A31" s="48">
        <f t="shared" si="0"/>
        <v>89</v>
      </c>
      <c r="B31" s="49">
        <f t="shared" si="1"/>
        <v>0.39159999999999995</v>
      </c>
      <c r="C31" s="19"/>
      <c r="D31" s="19"/>
      <c r="E31" s="20"/>
    </row>
    <row r="32" spans="1:5" ht="12.95" customHeight="1">
      <c r="A32" s="48">
        <v>90</v>
      </c>
      <c r="B32" s="49">
        <f t="shared" si="1"/>
        <v>0.3599999999999999</v>
      </c>
      <c r="C32" s="19"/>
      <c r="D32" s="19"/>
      <c r="E32" s="20"/>
    </row>
    <row r="33" spans="1:5" ht="12.95" customHeight="1">
      <c r="A33" s="48">
        <f>+A31+3</f>
        <v>92</v>
      </c>
      <c r="B33" s="49">
        <f t="shared" si="1"/>
        <v>0.2944</v>
      </c>
      <c r="C33" s="19"/>
      <c r="D33" s="19"/>
      <c r="E33" s="20"/>
    </row>
    <row r="34" spans="1:5" ht="12.95" customHeight="1">
      <c r="A34" s="48">
        <f t="shared" si="0"/>
        <v>95</v>
      </c>
      <c r="B34" s="49">
        <f t="shared" si="1"/>
        <v>0.18999999999999995</v>
      </c>
      <c r="C34" s="19"/>
      <c r="D34" s="19"/>
      <c r="E34" s="20"/>
    </row>
    <row r="35" spans="1:5" ht="12.95" customHeight="1">
      <c r="A35" s="48">
        <f>+A34+3</f>
        <v>98</v>
      </c>
      <c r="B35" s="49">
        <f t="shared" si="1"/>
        <v>0.0783999999999998</v>
      </c>
      <c r="C35" s="19"/>
      <c r="D35" s="19"/>
      <c r="E35" s="20"/>
    </row>
    <row r="36" spans="1:5" ht="12.95" customHeight="1" thickBot="1">
      <c r="A36" s="51">
        <v>100</v>
      </c>
      <c r="B36" s="52">
        <f t="shared" si="1"/>
        <v>0</v>
      </c>
      <c r="C36" s="24"/>
      <c r="D36" s="24"/>
      <c r="E36" s="25"/>
    </row>
    <row r="37" ht="12.95" customHeight="1" thickTop="1"/>
  </sheetData>
  <mergeCells count="1">
    <mergeCell ref="C7:E7"/>
  </mergeCells>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dimension ref="A1:I1401"/>
  <sheetViews>
    <sheetView zoomScale="75" zoomScaleNormal="75" workbookViewId="0" topLeftCell="A1378">
      <selection activeCell="H1375" sqref="H1375"/>
    </sheetView>
  </sheetViews>
  <sheetFormatPr defaultColWidth="12" defaultRowHeight="12.75" customHeight="1"/>
  <cols>
    <col min="1" max="1" width="25.83203125" style="39" customWidth="1"/>
    <col min="2" max="2" width="40.83203125" style="39" customWidth="1"/>
    <col min="3" max="5" width="22.83203125" style="39" customWidth="1"/>
    <col min="6" max="16384" width="12" style="39" customWidth="1"/>
  </cols>
  <sheetData>
    <row r="1" spans="1:5" ht="30" customHeight="1" thickTop="1">
      <c r="A1" s="1" t="s">
        <v>7</v>
      </c>
      <c r="B1" s="64">
        <v>82</v>
      </c>
      <c r="C1" s="69" t="s">
        <v>5</v>
      </c>
      <c r="D1" s="4" t="s">
        <v>1</v>
      </c>
      <c r="E1" s="5" t="s">
        <v>13</v>
      </c>
    </row>
    <row r="2" spans="1:5" ht="30" customHeight="1">
      <c r="A2" s="6" t="s">
        <v>2</v>
      </c>
      <c r="B2" s="65" t="s">
        <v>23</v>
      </c>
      <c r="C2" s="60"/>
      <c r="D2" s="53" t="s">
        <v>24</v>
      </c>
      <c r="E2" s="9" t="s">
        <v>14</v>
      </c>
    </row>
    <row r="3" spans="1:5" ht="30" customHeight="1">
      <c r="A3" s="6" t="s">
        <v>10</v>
      </c>
      <c r="B3" s="76" t="s">
        <v>25</v>
      </c>
      <c r="C3" s="60"/>
      <c r="D3" s="55"/>
      <c r="E3" s="9"/>
    </row>
    <row r="4" spans="1:5" ht="30" customHeight="1" thickBot="1">
      <c r="A4" s="6" t="s">
        <v>3</v>
      </c>
      <c r="B4" s="65"/>
      <c r="C4" s="61"/>
      <c r="D4" s="56"/>
      <c r="E4" s="57"/>
    </row>
    <row r="5" spans="1:5" ht="30" customHeight="1">
      <c r="A5" s="6" t="s">
        <v>4</v>
      </c>
      <c r="B5" s="65" t="s">
        <v>21</v>
      </c>
      <c r="C5" s="70" t="s">
        <v>6</v>
      </c>
      <c r="D5" s="11">
        <v>70</v>
      </c>
      <c r="E5" s="58"/>
    </row>
    <row r="6" spans="1:5" ht="30" customHeight="1" thickBot="1">
      <c r="A6" s="12" t="s">
        <v>11</v>
      </c>
      <c r="B6" s="37" t="s">
        <v>272</v>
      </c>
      <c r="C6" s="71" t="s">
        <v>0</v>
      </c>
      <c r="D6" s="14">
        <f>IF(D5&lt;0,"valor del indicador fuera de rango",IF(D5&lt;=50,0,IF(D5&lt;=100,(-0.000125*D5^2+0.0388*D5-1.63),"valor del indicador fuera rango")))</f>
        <v>0.4735000000000005</v>
      </c>
      <c r="E6" s="59"/>
    </row>
    <row r="7" spans="1:5" ht="30" customHeight="1">
      <c r="A7" s="15" t="s">
        <v>9</v>
      </c>
      <c r="B7" s="66" t="s">
        <v>0</v>
      </c>
      <c r="C7" s="195" t="s">
        <v>8</v>
      </c>
      <c r="D7" s="190"/>
      <c r="E7" s="191"/>
    </row>
    <row r="8" spans="1:5" ht="12.95" customHeight="1">
      <c r="A8" s="17">
        <v>0</v>
      </c>
      <c r="B8" s="67">
        <f>0</f>
        <v>0</v>
      </c>
      <c r="C8" s="72"/>
      <c r="D8" s="40"/>
      <c r="E8" s="41"/>
    </row>
    <row r="9" spans="1:5" ht="12.95" customHeight="1">
      <c r="A9" s="21">
        <f aca="true" t="shared" si="0" ref="A9:A28">A8+5</f>
        <v>5</v>
      </c>
      <c r="B9" s="67">
        <f>0</f>
        <v>0</v>
      </c>
      <c r="C9" s="73"/>
      <c r="D9" s="40"/>
      <c r="E9" s="41"/>
    </row>
    <row r="10" spans="1:5" ht="12.95" customHeight="1">
      <c r="A10" s="21">
        <f t="shared" si="0"/>
        <v>10</v>
      </c>
      <c r="B10" s="67">
        <f>0</f>
        <v>0</v>
      </c>
      <c r="C10" s="73"/>
      <c r="D10" s="40"/>
      <c r="E10" s="41"/>
    </row>
    <row r="11" spans="1:5" ht="12.95" customHeight="1">
      <c r="A11" s="21">
        <f t="shared" si="0"/>
        <v>15</v>
      </c>
      <c r="B11" s="67">
        <f>0</f>
        <v>0</v>
      </c>
      <c r="C11" s="73"/>
      <c r="D11" s="40"/>
      <c r="E11" s="41"/>
    </row>
    <row r="12" spans="1:5" ht="12.95" customHeight="1">
      <c r="A12" s="21">
        <f t="shared" si="0"/>
        <v>20</v>
      </c>
      <c r="B12" s="67">
        <f>0</f>
        <v>0</v>
      </c>
      <c r="C12" s="73"/>
      <c r="D12" s="40"/>
      <c r="E12" s="41"/>
    </row>
    <row r="13" spans="1:5" ht="12.95" customHeight="1">
      <c r="A13" s="21">
        <f t="shared" si="0"/>
        <v>25</v>
      </c>
      <c r="B13" s="67">
        <f>0</f>
        <v>0</v>
      </c>
      <c r="C13" s="73"/>
      <c r="D13" s="40"/>
      <c r="E13" s="41"/>
    </row>
    <row r="14" spans="1:5" ht="12.95" customHeight="1">
      <c r="A14" s="21">
        <f t="shared" si="0"/>
        <v>30</v>
      </c>
      <c r="B14" s="67">
        <f>0</f>
        <v>0</v>
      </c>
      <c r="C14" s="73"/>
      <c r="D14" s="40"/>
      <c r="E14" s="41"/>
    </row>
    <row r="15" spans="1:5" ht="12.95" customHeight="1">
      <c r="A15" s="21">
        <f t="shared" si="0"/>
        <v>35</v>
      </c>
      <c r="B15" s="67">
        <f>0</f>
        <v>0</v>
      </c>
      <c r="C15" s="73"/>
      <c r="D15" s="40"/>
      <c r="E15" s="41"/>
    </row>
    <row r="16" spans="1:5" ht="12.95" customHeight="1">
      <c r="A16" s="21">
        <f t="shared" si="0"/>
        <v>40</v>
      </c>
      <c r="B16" s="67">
        <f>0</f>
        <v>0</v>
      </c>
      <c r="C16" s="73"/>
      <c r="D16" s="40"/>
      <c r="E16" s="41"/>
    </row>
    <row r="17" spans="1:5" ht="12.95" customHeight="1">
      <c r="A17" s="21">
        <f t="shared" si="0"/>
        <v>45</v>
      </c>
      <c r="B17" s="67">
        <f>0</f>
        <v>0</v>
      </c>
      <c r="C17" s="73"/>
      <c r="D17" s="40"/>
      <c r="E17" s="41"/>
    </row>
    <row r="18" spans="1:5" ht="12.95" customHeight="1">
      <c r="A18" s="21">
        <f t="shared" si="0"/>
        <v>50</v>
      </c>
      <c r="B18" s="67">
        <f>0</f>
        <v>0</v>
      </c>
      <c r="C18" s="73"/>
      <c r="D18" s="40"/>
      <c r="E18" s="41"/>
    </row>
    <row r="19" spans="1:5" ht="12.95" customHeight="1">
      <c r="A19" s="60">
        <f t="shared" si="0"/>
        <v>55</v>
      </c>
      <c r="B19" s="68">
        <f aca="true" t="shared" si="1" ref="B19:B28">(-0.000125*A19^2)+(0.0388*A19)-1.63</f>
        <v>0.12587499999999996</v>
      </c>
      <c r="C19" s="73"/>
      <c r="D19" s="40"/>
      <c r="E19" s="41"/>
    </row>
    <row r="20" spans="1:5" ht="12.95" customHeight="1">
      <c r="A20" s="60">
        <f t="shared" si="0"/>
        <v>60</v>
      </c>
      <c r="B20" s="68">
        <f t="shared" si="1"/>
        <v>0.24800000000000044</v>
      </c>
      <c r="C20" s="73"/>
      <c r="D20" s="40"/>
      <c r="E20" s="41"/>
    </row>
    <row r="21" spans="1:5" ht="12.95" customHeight="1">
      <c r="A21" s="60">
        <f t="shared" si="0"/>
        <v>65</v>
      </c>
      <c r="B21" s="68">
        <f t="shared" si="1"/>
        <v>0.3638750000000004</v>
      </c>
      <c r="C21" s="73"/>
      <c r="D21" s="40"/>
      <c r="E21" s="41"/>
    </row>
    <row r="22" spans="1:5" ht="12.95" customHeight="1">
      <c r="A22" s="60">
        <f t="shared" si="0"/>
        <v>70</v>
      </c>
      <c r="B22" s="68">
        <f t="shared" si="1"/>
        <v>0.4735000000000005</v>
      </c>
      <c r="C22" s="73"/>
      <c r="D22" s="40"/>
      <c r="E22" s="41"/>
    </row>
    <row r="23" spans="1:5" ht="12.95" customHeight="1">
      <c r="A23" s="60">
        <f t="shared" si="0"/>
        <v>75</v>
      </c>
      <c r="B23" s="68">
        <f t="shared" si="1"/>
        <v>0.5768750000000002</v>
      </c>
      <c r="C23" s="73"/>
      <c r="D23" s="40"/>
      <c r="E23" s="41"/>
    </row>
    <row r="24" spans="1:5" ht="12.95" customHeight="1">
      <c r="A24" s="60">
        <f t="shared" si="0"/>
        <v>80</v>
      </c>
      <c r="B24" s="68">
        <f t="shared" si="1"/>
        <v>0.6740000000000004</v>
      </c>
      <c r="C24" s="73"/>
      <c r="D24" s="40"/>
      <c r="E24" s="41"/>
    </row>
    <row r="25" spans="1:5" ht="12.95" customHeight="1">
      <c r="A25" s="60">
        <f t="shared" si="0"/>
        <v>85</v>
      </c>
      <c r="B25" s="68">
        <f t="shared" si="1"/>
        <v>0.764875</v>
      </c>
      <c r="C25" s="73"/>
      <c r="D25" s="40"/>
      <c r="E25" s="41"/>
    </row>
    <row r="26" spans="1:5" ht="12.95" customHeight="1">
      <c r="A26" s="60">
        <f t="shared" si="0"/>
        <v>90</v>
      </c>
      <c r="B26" s="68">
        <f t="shared" si="1"/>
        <v>0.8494999999999999</v>
      </c>
      <c r="C26" s="73"/>
      <c r="D26" s="40"/>
      <c r="E26" s="41"/>
    </row>
    <row r="27" spans="1:5" ht="12.95" customHeight="1" thickBot="1">
      <c r="A27" s="60">
        <f t="shared" si="0"/>
        <v>95</v>
      </c>
      <c r="B27" s="68">
        <f t="shared" si="1"/>
        <v>0.9278750000000002</v>
      </c>
      <c r="C27" s="74"/>
      <c r="D27" s="43"/>
      <c r="E27" s="44"/>
    </row>
    <row r="28" spans="1:5" ht="12.95" customHeight="1" thickBot="1" thickTop="1">
      <c r="A28" s="81">
        <f t="shared" si="0"/>
        <v>100</v>
      </c>
      <c r="B28" s="82">
        <f t="shared" si="1"/>
        <v>1</v>
      </c>
      <c r="C28" s="72"/>
      <c r="D28" s="40"/>
      <c r="E28" s="41"/>
    </row>
    <row r="29" spans="1:5" ht="12.95" customHeight="1" thickTop="1">
      <c r="A29" s="77"/>
      <c r="B29" s="63"/>
      <c r="C29" s="72"/>
      <c r="D29" s="40"/>
      <c r="E29" s="41"/>
    </row>
    <row r="30" spans="1:5" ht="12.95" customHeight="1">
      <c r="A30" s="77"/>
      <c r="B30" s="63"/>
      <c r="C30" s="72"/>
      <c r="D30" s="40"/>
      <c r="E30" s="41"/>
    </row>
    <row r="31" spans="1:5" ht="12.95" customHeight="1">
      <c r="A31" s="77"/>
      <c r="B31" s="63"/>
      <c r="C31" s="72"/>
      <c r="D31" s="40"/>
      <c r="E31" s="41"/>
    </row>
    <row r="32" spans="1:5" ht="12.95" customHeight="1">
      <c r="A32" s="77"/>
      <c r="B32" s="63"/>
      <c r="C32" s="72"/>
      <c r="D32" s="40"/>
      <c r="E32" s="41"/>
    </row>
    <row r="33" spans="1:5" ht="12.95" customHeight="1">
      <c r="A33" s="77"/>
      <c r="B33" s="63"/>
      <c r="C33" s="72"/>
      <c r="D33" s="40"/>
      <c r="E33" s="41"/>
    </row>
    <row r="34" spans="1:5" ht="12.95" customHeight="1">
      <c r="A34" s="77"/>
      <c r="B34" s="63"/>
      <c r="C34" s="72"/>
      <c r="D34" s="40"/>
      <c r="E34" s="41"/>
    </row>
    <row r="35" spans="1:5" ht="12.95" customHeight="1">
      <c r="A35" s="77"/>
      <c r="B35" s="63"/>
      <c r="C35" s="72"/>
      <c r="D35" s="40"/>
      <c r="E35" s="41"/>
    </row>
    <row r="36" spans="1:5" ht="12.95" customHeight="1">
      <c r="A36" s="77"/>
      <c r="B36" s="63"/>
      <c r="C36" s="72"/>
      <c r="D36" s="40"/>
      <c r="E36" s="41"/>
    </row>
    <row r="37" spans="1:5" ht="12.95" customHeight="1">
      <c r="A37" s="77"/>
      <c r="B37" s="63"/>
      <c r="C37" s="72"/>
      <c r="D37" s="40"/>
      <c r="E37" s="41"/>
    </row>
    <row r="38" spans="1:5" ht="12.95" customHeight="1">
      <c r="A38" s="77"/>
      <c r="B38" s="63"/>
      <c r="C38" s="72"/>
      <c r="D38" s="40"/>
      <c r="E38" s="41"/>
    </row>
    <row r="39" spans="1:5" ht="12.95" customHeight="1">
      <c r="A39" s="77"/>
      <c r="B39" s="63"/>
      <c r="C39" s="72"/>
      <c r="D39" s="40"/>
      <c r="E39" s="41"/>
    </row>
    <row r="40" spans="1:5" ht="12.95" customHeight="1">
      <c r="A40" s="78"/>
      <c r="B40" s="63"/>
      <c r="C40" s="72"/>
      <c r="D40" s="40"/>
      <c r="E40" s="41"/>
    </row>
    <row r="41" spans="1:5" ht="12.95" customHeight="1">
      <c r="A41" s="78"/>
      <c r="B41" s="63"/>
      <c r="C41" s="72"/>
      <c r="D41" s="40"/>
      <c r="E41" s="41"/>
    </row>
    <row r="42" spans="1:5" ht="12.95" customHeight="1">
      <c r="A42" s="78"/>
      <c r="B42" s="63"/>
      <c r="C42" s="72"/>
      <c r="D42" s="40"/>
      <c r="E42" s="41"/>
    </row>
    <row r="43" spans="1:5" ht="12.95" customHeight="1">
      <c r="A43" s="78"/>
      <c r="B43" s="63"/>
      <c r="C43" s="72"/>
      <c r="D43" s="40"/>
      <c r="E43" s="41"/>
    </row>
    <row r="44" spans="1:5" ht="12.95" customHeight="1">
      <c r="A44" s="78"/>
      <c r="B44" s="63"/>
      <c r="C44" s="72"/>
      <c r="D44" s="40"/>
      <c r="E44" s="41"/>
    </row>
    <row r="45" spans="1:5" ht="12.95" customHeight="1">
      <c r="A45" s="78"/>
      <c r="B45" s="63"/>
      <c r="C45" s="72"/>
      <c r="D45" s="40"/>
      <c r="E45" s="41"/>
    </row>
    <row r="46" spans="1:5" ht="12.95" customHeight="1" thickBot="1">
      <c r="A46" s="78"/>
      <c r="B46" s="63"/>
      <c r="C46" s="75"/>
      <c r="D46" s="43"/>
      <c r="E46" s="44"/>
    </row>
    <row r="47" spans="1:5" ht="12.95" customHeight="1" thickBot="1" thickTop="1">
      <c r="A47" s="79"/>
      <c r="B47" s="80"/>
      <c r="C47" s="43"/>
      <c r="D47" s="43"/>
      <c r="E47" s="44"/>
    </row>
    <row r="48" ht="12.95" customHeight="1" thickTop="1"/>
    <row r="49" ht="12.95" customHeight="1" thickBot="1"/>
    <row r="50" spans="1:5" ht="30" customHeight="1" thickTop="1">
      <c r="A50" s="1" t="s">
        <v>7</v>
      </c>
      <c r="B50" s="2">
        <v>83</v>
      </c>
      <c r="C50" s="3" t="s">
        <v>5</v>
      </c>
      <c r="D50" s="4" t="s">
        <v>49</v>
      </c>
      <c r="E50" s="5" t="s">
        <v>47</v>
      </c>
    </row>
    <row r="51" spans="1:5" ht="30" customHeight="1">
      <c r="A51" s="6" t="s">
        <v>2</v>
      </c>
      <c r="B51" s="7" t="s">
        <v>61</v>
      </c>
      <c r="C51" s="8"/>
      <c r="D51" s="53" t="s">
        <v>50</v>
      </c>
      <c r="E51" s="9" t="s">
        <v>48</v>
      </c>
    </row>
    <row r="52" spans="1:5" ht="30" customHeight="1">
      <c r="A52" s="6" t="s">
        <v>10</v>
      </c>
      <c r="B52" s="7"/>
      <c r="C52" s="8"/>
      <c r="D52" s="55"/>
      <c r="E52" s="9"/>
    </row>
    <row r="53" spans="1:5" ht="30" customHeight="1" thickBot="1">
      <c r="A53" s="6" t="s">
        <v>3</v>
      </c>
      <c r="B53" s="7" t="s">
        <v>62</v>
      </c>
      <c r="C53" s="83"/>
      <c r="D53" s="56"/>
      <c r="E53" s="57"/>
    </row>
    <row r="54" spans="1:5" ht="30" customHeight="1">
      <c r="A54" s="6" t="s">
        <v>4</v>
      </c>
      <c r="B54" s="7" t="s">
        <v>63</v>
      </c>
      <c r="C54" s="10" t="s">
        <v>6</v>
      </c>
      <c r="D54" s="11">
        <v>3</v>
      </c>
      <c r="E54" s="58"/>
    </row>
    <row r="55" spans="1:5" ht="30" customHeight="1" thickBot="1">
      <c r="A55" s="12" t="s">
        <v>11</v>
      </c>
      <c r="B55" s="37" t="s">
        <v>66</v>
      </c>
      <c r="C55" s="13" t="s">
        <v>0</v>
      </c>
      <c r="D55" s="14">
        <f>IF(D54&lt;0,"valor del indicador fuera de rango",IF(D54&lt;=2,(-0.03*D54^2-0.06*D54+1),IF(D54&lt;=6,(-0.19*D54+1.14),"valor del indicador fuera rango")))</f>
        <v>0.5699999999999998</v>
      </c>
      <c r="E55" s="59"/>
    </row>
    <row r="56" spans="1:5" ht="30" customHeight="1">
      <c r="A56" s="15" t="s">
        <v>9</v>
      </c>
      <c r="B56" s="16" t="s">
        <v>0</v>
      </c>
      <c r="C56" s="192" t="s">
        <v>8</v>
      </c>
      <c r="D56" s="193"/>
      <c r="E56" s="194"/>
    </row>
    <row r="57" spans="1:5" ht="12.95" customHeight="1">
      <c r="A57" s="87">
        <v>0</v>
      </c>
      <c r="B57" s="18">
        <f aca="true" t="shared" si="2" ref="B57:B63">-0.03*A57^2-0.06*A57+1</f>
        <v>1</v>
      </c>
      <c r="C57" s="19"/>
      <c r="D57" s="19"/>
      <c r="E57" s="20"/>
    </row>
    <row r="58" spans="1:5" ht="12.95" customHeight="1">
      <c r="A58" s="88">
        <f aca="true" t="shared" si="3" ref="A58:A63">+A57+0.3</f>
        <v>0.3</v>
      </c>
      <c r="B58" s="18">
        <f t="shared" si="2"/>
        <v>0.9793</v>
      </c>
      <c r="C58" s="85"/>
      <c r="D58" s="19"/>
      <c r="E58" s="20"/>
    </row>
    <row r="59" spans="1:5" ht="12.95" customHeight="1">
      <c r="A59" s="88">
        <f t="shared" si="3"/>
        <v>0.6</v>
      </c>
      <c r="B59" s="18">
        <f t="shared" si="2"/>
        <v>0.9532</v>
      </c>
      <c r="C59" s="85"/>
      <c r="D59" s="19"/>
      <c r="E59" s="20"/>
    </row>
    <row r="60" spans="1:5" ht="12.95" customHeight="1">
      <c r="A60" s="88">
        <f t="shared" si="3"/>
        <v>0.8999999999999999</v>
      </c>
      <c r="B60" s="18">
        <f t="shared" si="2"/>
        <v>0.9217</v>
      </c>
      <c r="C60" s="85"/>
      <c r="D60" s="19"/>
      <c r="E60" s="20"/>
    </row>
    <row r="61" spans="1:5" ht="12.95" customHeight="1">
      <c r="A61" s="88">
        <f t="shared" si="3"/>
        <v>1.2</v>
      </c>
      <c r="B61" s="18">
        <f t="shared" si="2"/>
        <v>0.8848</v>
      </c>
      <c r="C61" s="85"/>
      <c r="D61" s="19"/>
      <c r="E61" s="20"/>
    </row>
    <row r="62" spans="1:5" ht="12.95" customHeight="1">
      <c r="A62" s="88">
        <f t="shared" si="3"/>
        <v>1.5</v>
      </c>
      <c r="B62" s="18">
        <f t="shared" si="2"/>
        <v>0.8425</v>
      </c>
      <c r="C62" s="85"/>
      <c r="D62" s="19"/>
      <c r="E62" s="20"/>
    </row>
    <row r="63" spans="1:5" ht="12.95" customHeight="1">
      <c r="A63" s="88">
        <f t="shared" si="3"/>
        <v>1.8</v>
      </c>
      <c r="B63" s="18">
        <f t="shared" si="2"/>
        <v>0.7948</v>
      </c>
      <c r="C63" s="85"/>
      <c r="D63" s="19"/>
      <c r="E63" s="20"/>
    </row>
    <row r="64" spans="1:5" ht="12.95" customHeight="1">
      <c r="A64" s="89">
        <v>2</v>
      </c>
      <c r="B64" s="54">
        <f aca="true" t="shared" si="4" ref="B64:B80">-0.19*A64+1.14</f>
        <v>0.7599999999999999</v>
      </c>
      <c r="C64" s="85"/>
      <c r="D64" s="19"/>
      <c r="E64" s="20"/>
    </row>
    <row r="65" spans="1:5" ht="12.95" customHeight="1">
      <c r="A65" s="89">
        <v>2.5</v>
      </c>
      <c r="B65" s="54">
        <f t="shared" si="4"/>
        <v>0.6649999999999999</v>
      </c>
      <c r="C65" s="85"/>
      <c r="D65" s="19"/>
      <c r="E65" s="20"/>
    </row>
    <row r="66" spans="1:5" ht="12.95" customHeight="1">
      <c r="A66" s="89">
        <v>3</v>
      </c>
      <c r="B66" s="54">
        <f t="shared" si="4"/>
        <v>0.5699999999999998</v>
      </c>
      <c r="C66" s="85"/>
      <c r="D66" s="19"/>
      <c r="E66" s="20"/>
    </row>
    <row r="67" spans="1:5" ht="12.95" customHeight="1">
      <c r="A67" s="89">
        <f aca="true" t="shared" si="5" ref="A67:A79">+A66+0.2</f>
        <v>3.2</v>
      </c>
      <c r="B67" s="54">
        <f t="shared" si="4"/>
        <v>0.5319999999999998</v>
      </c>
      <c r="C67" s="85"/>
      <c r="D67" s="19"/>
      <c r="E67" s="20"/>
    </row>
    <row r="68" spans="1:5" ht="12.95" customHeight="1">
      <c r="A68" s="89">
        <f t="shared" si="5"/>
        <v>3.4000000000000004</v>
      </c>
      <c r="B68" s="54">
        <f t="shared" si="4"/>
        <v>0.4939999999999998</v>
      </c>
      <c r="C68" s="85"/>
      <c r="D68" s="19"/>
      <c r="E68" s="20"/>
    </row>
    <row r="69" spans="1:5" ht="12.95" customHeight="1">
      <c r="A69" s="89">
        <f t="shared" si="5"/>
        <v>3.6000000000000005</v>
      </c>
      <c r="B69" s="54">
        <f t="shared" si="4"/>
        <v>0.45599999999999974</v>
      </c>
      <c r="C69" s="85"/>
      <c r="D69" s="19"/>
      <c r="E69" s="20"/>
    </row>
    <row r="70" spans="1:5" ht="12.95" customHeight="1">
      <c r="A70" s="89">
        <f t="shared" si="5"/>
        <v>3.8000000000000007</v>
      </c>
      <c r="B70" s="54">
        <f t="shared" si="4"/>
        <v>0.4179999999999997</v>
      </c>
      <c r="C70" s="85"/>
      <c r="D70" s="19"/>
      <c r="E70" s="20"/>
    </row>
    <row r="71" spans="1:5" ht="12.95" customHeight="1">
      <c r="A71" s="89">
        <f t="shared" si="5"/>
        <v>4.000000000000001</v>
      </c>
      <c r="B71" s="54">
        <f t="shared" si="4"/>
        <v>0.37999999999999967</v>
      </c>
      <c r="C71" s="85"/>
      <c r="D71" s="19"/>
      <c r="E71" s="20"/>
    </row>
    <row r="72" spans="1:5" ht="12.95" customHeight="1">
      <c r="A72" s="89">
        <f t="shared" si="5"/>
        <v>4.200000000000001</v>
      </c>
      <c r="B72" s="54">
        <f t="shared" si="4"/>
        <v>0.34199999999999964</v>
      </c>
      <c r="C72" s="85"/>
      <c r="D72" s="19"/>
      <c r="E72" s="20"/>
    </row>
    <row r="73" spans="1:5" ht="12.95" customHeight="1">
      <c r="A73" s="89">
        <f t="shared" si="5"/>
        <v>4.400000000000001</v>
      </c>
      <c r="B73" s="54">
        <f t="shared" si="4"/>
        <v>0.3039999999999996</v>
      </c>
      <c r="C73" s="85"/>
      <c r="D73" s="19"/>
      <c r="E73" s="20"/>
    </row>
    <row r="74" spans="1:5" ht="12.95" customHeight="1">
      <c r="A74" s="89">
        <f t="shared" si="5"/>
        <v>4.600000000000001</v>
      </c>
      <c r="B74" s="54">
        <f t="shared" si="4"/>
        <v>0.26599999999999957</v>
      </c>
      <c r="C74" s="85"/>
      <c r="D74" s="19"/>
      <c r="E74" s="20"/>
    </row>
    <row r="75" spans="1:5" ht="12.95" customHeight="1">
      <c r="A75" s="89">
        <f t="shared" si="5"/>
        <v>4.800000000000002</v>
      </c>
      <c r="B75" s="54">
        <f t="shared" si="4"/>
        <v>0.22799999999999954</v>
      </c>
      <c r="C75" s="85"/>
      <c r="D75" s="19"/>
      <c r="E75" s="20"/>
    </row>
    <row r="76" spans="1:5" ht="12.95" customHeight="1">
      <c r="A76" s="89">
        <f t="shared" si="5"/>
        <v>5.000000000000002</v>
      </c>
      <c r="B76" s="54">
        <f t="shared" si="4"/>
        <v>0.1899999999999995</v>
      </c>
      <c r="C76" s="85"/>
      <c r="D76" s="19"/>
      <c r="E76" s="20"/>
    </row>
    <row r="77" spans="1:5" ht="12.95" customHeight="1">
      <c r="A77" s="89">
        <f t="shared" si="5"/>
        <v>5.200000000000002</v>
      </c>
      <c r="B77" s="54">
        <f t="shared" si="4"/>
        <v>0.15199999999999947</v>
      </c>
      <c r="C77" s="85"/>
      <c r="D77" s="19"/>
      <c r="E77" s="20"/>
    </row>
    <row r="78" spans="1:5" ht="12.95" customHeight="1">
      <c r="A78" s="89">
        <f>+A77+0.2</f>
        <v>5.400000000000002</v>
      </c>
      <c r="B78" s="54">
        <f t="shared" si="4"/>
        <v>0.11399999999999944</v>
      </c>
      <c r="C78" s="85"/>
      <c r="D78" s="19"/>
      <c r="E78" s="20"/>
    </row>
    <row r="79" spans="1:5" ht="12.95" customHeight="1">
      <c r="A79" s="89">
        <f t="shared" si="5"/>
        <v>5.600000000000002</v>
      </c>
      <c r="B79" s="54">
        <f t="shared" si="4"/>
        <v>0.0759999999999994</v>
      </c>
      <c r="C79" s="85"/>
      <c r="D79" s="19"/>
      <c r="E79" s="20"/>
    </row>
    <row r="80" spans="1:5" ht="12.95" customHeight="1" thickBot="1">
      <c r="A80" s="90">
        <v>6</v>
      </c>
      <c r="B80" s="91">
        <f t="shared" si="4"/>
        <v>0</v>
      </c>
      <c r="C80" s="92"/>
      <c r="D80" s="24"/>
      <c r="E80" s="25"/>
    </row>
    <row r="81" ht="12.95" customHeight="1" thickTop="1"/>
    <row r="82" ht="12.95" customHeight="1" thickBot="1"/>
    <row r="83" spans="1:5" ht="30" customHeight="1" thickTop="1">
      <c r="A83" s="1" t="s">
        <v>7</v>
      </c>
      <c r="B83" s="2">
        <v>84</v>
      </c>
      <c r="C83" s="3" t="s">
        <v>5</v>
      </c>
      <c r="D83" s="4" t="s">
        <v>27</v>
      </c>
      <c r="E83" s="5" t="s">
        <v>26</v>
      </c>
    </row>
    <row r="84" spans="1:5" ht="30" customHeight="1">
      <c r="A84" s="6" t="s">
        <v>2</v>
      </c>
      <c r="B84" s="7" t="s">
        <v>64</v>
      </c>
      <c r="C84" s="8"/>
      <c r="D84" s="53"/>
      <c r="E84" s="9"/>
    </row>
    <row r="85" spans="1:5" ht="30" customHeight="1">
      <c r="A85" s="6" t="s">
        <v>10</v>
      </c>
      <c r="B85" s="7"/>
      <c r="C85" s="8"/>
      <c r="D85" s="55"/>
      <c r="E85" s="9"/>
    </row>
    <row r="86" spans="1:5" ht="30" customHeight="1" thickBot="1">
      <c r="A86" s="6" t="s">
        <v>3</v>
      </c>
      <c r="B86" s="7" t="s">
        <v>62</v>
      </c>
      <c r="C86" s="83"/>
      <c r="D86" s="56"/>
      <c r="E86" s="57"/>
    </row>
    <row r="87" spans="1:5" ht="30" customHeight="1">
      <c r="A87" s="6" t="s">
        <v>4</v>
      </c>
      <c r="B87" s="7" t="s">
        <v>65</v>
      </c>
      <c r="C87" s="10" t="s">
        <v>6</v>
      </c>
      <c r="D87" s="11">
        <v>1</v>
      </c>
      <c r="E87" s="58"/>
    </row>
    <row r="88" spans="1:5" ht="30" customHeight="1" thickBot="1">
      <c r="A88" s="12" t="s">
        <v>11</v>
      </c>
      <c r="B88" s="37" t="s">
        <v>66</v>
      </c>
      <c r="C88" s="13" t="s">
        <v>0</v>
      </c>
      <c r="D88" s="14">
        <f>IF(D87&lt;0,"valor del indicador fuera de rango",IF(D87&lt;=5,(-0.0213*D87^2-0.0933*D87+1),"valor del indicador fuera rango"))</f>
        <v>0.8854</v>
      </c>
      <c r="E88" s="59"/>
    </row>
    <row r="89" spans="1:5" ht="30" customHeight="1">
      <c r="A89" s="15" t="s">
        <v>9</v>
      </c>
      <c r="B89" s="16" t="s">
        <v>0</v>
      </c>
      <c r="C89" s="192" t="s">
        <v>8</v>
      </c>
      <c r="D89" s="193"/>
      <c r="E89" s="194"/>
    </row>
    <row r="90" spans="1:5" ht="12.95" customHeight="1">
      <c r="A90" s="87">
        <v>0</v>
      </c>
      <c r="B90" s="18">
        <f>(-0.0213*A90^2)-(0.0933*A90)+1</f>
        <v>1</v>
      </c>
      <c r="C90" s="19"/>
      <c r="D90" s="19"/>
      <c r="E90" s="20"/>
    </row>
    <row r="91" spans="1:5" ht="12.95" customHeight="1">
      <c r="A91" s="88">
        <f>+A90+0.25</f>
        <v>0.25</v>
      </c>
      <c r="B91" s="18">
        <f aca="true" t="shared" si="6" ref="B91:B112">(-0.0213*A91^2)-(0.0933*A91)+1</f>
        <v>0.97534375</v>
      </c>
      <c r="C91" s="85"/>
      <c r="D91" s="19"/>
      <c r="E91" s="20"/>
    </row>
    <row r="92" spans="1:5" ht="12.95" customHeight="1">
      <c r="A92" s="88">
        <f aca="true" t="shared" si="7" ref="A92:A106">+A91+0.25</f>
        <v>0.5</v>
      </c>
      <c r="B92" s="18">
        <f t="shared" si="6"/>
        <v>0.948025</v>
      </c>
      <c r="C92" s="85"/>
      <c r="D92" s="19"/>
      <c r="E92" s="20"/>
    </row>
    <row r="93" spans="1:5" ht="12.95" customHeight="1">
      <c r="A93" s="88">
        <f t="shared" si="7"/>
        <v>0.75</v>
      </c>
      <c r="B93" s="18">
        <f t="shared" si="6"/>
        <v>0.91804375</v>
      </c>
      <c r="C93" s="85"/>
      <c r="D93" s="19"/>
      <c r="E93" s="20"/>
    </row>
    <row r="94" spans="1:5" ht="12.95" customHeight="1">
      <c r="A94" s="88">
        <f t="shared" si="7"/>
        <v>1</v>
      </c>
      <c r="B94" s="18">
        <f t="shared" si="6"/>
        <v>0.8854</v>
      </c>
      <c r="C94" s="85"/>
      <c r="D94" s="19"/>
      <c r="E94" s="20"/>
    </row>
    <row r="95" spans="1:5" ht="12.95" customHeight="1">
      <c r="A95" s="88">
        <f t="shared" si="7"/>
        <v>1.25</v>
      </c>
      <c r="B95" s="18">
        <f t="shared" si="6"/>
        <v>0.85009375</v>
      </c>
      <c r="C95" s="85"/>
      <c r="D95" s="19"/>
      <c r="E95" s="20"/>
    </row>
    <row r="96" spans="1:5" ht="12.95" customHeight="1">
      <c r="A96" s="88">
        <f t="shared" si="7"/>
        <v>1.5</v>
      </c>
      <c r="B96" s="18">
        <f t="shared" si="6"/>
        <v>0.812125</v>
      </c>
      <c r="C96" s="85"/>
      <c r="D96" s="19"/>
      <c r="E96" s="20"/>
    </row>
    <row r="97" spans="1:5" ht="12.95" customHeight="1">
      <c r="A97" s="88">
        <f t="shared" si="7"/>
        <v>1.75</v>
      </c>
      <c r="B97" s="18">
        <f t="shared" si="6"/>
        <v>0.77149375</v>
      </c>
      <c r="C97" s="85"/>
      <c r="D97" s="19"/>
      <c r="E97" s="20"/>
    </row>
    <row r="98" spans="1:5" ht="12.95" customHeight="1">
      <c r="A98" s="88">
        <f t="shared" si="7"/>
        <v>2</v>
      </c>
      <c r="B98" s="18">
        <f t="shared" si="6"/>
        <v>0.7282</v>
      </c>
      <c r="C98" s="85"/>
      <c r="D98" s="19"/>
      <c r="E98" s="20"/>
    </row>
    <row r="99" spans="1:5" ht="12.95" customHeight="1">
      <c r="A99" s="88">
        <f t="shared" si="7"/>
        <v>2.25</v>
      </c>
      <c r="B99" s="18">
        <f t="shared" si="6"/>
        <v>0.68224375</v>
      </c>
      <c r="C99" s="85"/>
      <c r="D99" s="19"/>
      <c r="E99" s="20"/>
    </row>
    <row r="100" spans="1:5" ht="12.95" customHeight="1">
      <c r="A100" s="88">
        <f t="shared" si="7"/>
        <v>2.5</v>
      </c>
      <c r="B100" s="18">
        <f t="shared" si="6"/>
        <v>0.633625</v>
      </c>
      <c r="C100" s="85"/>
      <c r="D100" s="19"/>
      <c r="E100" s="20"/>
    </row>
    <row r="101" spans="1:5" ht="12.95" customHeight="1">
      <c r="A101" s="88">
        <f t="shared" si="7"/>
        <v>2.75</v>
      </c>
      <c r="B101" s="18">
        <f t="shared" si="6"/>
        <v>0.5823437499999999</v>
      </c>
      <c r="C101" s="85"/>
      <c r="D101" s="19"/>
      <c r="E101" s="20"/>
    </row>
    <row r="102" spans="1:5" ht="12.95" customHeight="1">
      <c r="A102" s="88">
        <f t="shared" si="7"/>
        <v>3</v>
      </c>
      <c r="B102" s="18">
        <f t="shared" si="6"/>
        <v>0.5284</v>
      </c>
      <c r="C102" s="85"/>
      <c r="D102" s="19"/>
      <c r="E102" s="20"/>
    </row>
    <row r="103" spans="1:5" ht="12.95" customHeight="1">
      <c r="A103" s="88">
        <f t="shared" si="7"/>
        <v>3.25</v>
      </c>
      <c r="B103" s="18">
        <f t="shared" si="6"/>
        <v>0.47179375</v>
      </c>
      <c r="C103" s="85"/>
      <c r="D103" s="19"/>
      <c r="E103" s="20"/>
    </row>
    <row r="104" spans="1:5" ht="12.95" customHeight="1">
      <c r="A104" s="88">
        <f t="shared" si="7"/>
        <v>3.5</v>
      </c>
      <c r="B104" s="18">
        <f t="shared" si="6"/>
        <v>0.41252500000000003</v>
      </c>
      <c r="C104" s="85"/>
      <c r="D104" s="19"/>
      <c r="E104" s="20"/>
    </row>
    <row r="105" spans="1:5" ht="12.95" customHeight="1">
      <c r="A105" s="88">
        <f t="shared" si="7"/>
        <v>3.75</v>
      </c>
      <c r="B105" s="18">
        <f t="shared" si="6"/>
        <v>0.35059375000000004</v>
      </c>
      <c r="C105" s="85"/>
      <c r="D105" s="19"/>
      <c r="E105" s="20"/>
    </row>
    <row r="106" spans="1:5" ht="12.95" customHeight="1">
      <c r="A106" s="88">
        <f t="shared" si="7"/>
        <v>4</v>
      </c>
      <c r="B106" s="18">
        <f t="shared" si="6"/>
        <v>0.28600000000000003</v>
      </c>
      <c r="C106" s="85"/>
      <c r="D106" s="19"/>
      <c r="E106" s="20"/>
    </row>
    <row r="107" spans="1:5" ht="12.95" customHeight="1">
      <c r="A107" s="88">
        <v>4.2</v>
      </c>
      <c r="B107" s="18">
        <f t="shared" si="6"/>
        <v>0.23240799999999995</v>
      </c>
      <c r="C107" s="85"/>
      <c r="D107" s="19"/>
      <c r="E107" s="20"/>
    </row>
    <row r="108" spans="1:5" ht="12.95" customHeight="1">
      <c r="A108" s="88">
        <v>4.4</v>
      </c>
      <c r="B108" s="18">
        <f t="shared" si="6"/>
        <v>0.17711199999999994</v>
      </c>
      <c r="C108" s="85"/>
      <c r="D108" s="19"/>
      <c r="E108" s="20"/>
    </row>
    <row r="109" spans="1:5" ht="12.95" customHeight="1">
      <c r="A109" s="88">
        <v>4.6</v>
      </c>
      <c r="B109" s="18">
        <f t="shared" si="6"/>
        <v>0.12011200000000011</v>
      </c>
      <c r="C109" s="85"/>
      <c r="D109" s="19"/>
      <c r="E109" s="20"/>
    </row>
    <row r="110" spans="1:5" ht="12.95" customHeight="1">
      <c r="A110" s="88">
        <v>4.7</v>
      </c>
      <c r="B110" s="18">
        <f t="shared" si="6"/>
        <v>0.09097299999999997</v>
      </c>
      <c r="C110" s="85"/>
      <c r="D110" s="19"/>
      <c r="E110" s="20"/>
    </row>
    <row r="111" spans="1:5" ht="12.95" customHeight="1">
      <c r="A111" s="88">
        <v>4.8</v>
      </c>
      <c r="B111" s="18">
        <f t="shared" si="6"/>
        <v>0.06140800000000013</v>
      </c>
      <c r="C111" s="85"/>
      <c r="D111" s="19"/>
      <c r="E111" s="20"/>
    </row>
    <row r="112" spans="1:5" ht="12.95" customHeight="1" thickBot="1">
      <c r="A112" s="94">
        <v>5</v>
      </c>
      <c r="B112" s="46">
        <f t="shared" si="6"/>
        <v>0.001000000000000112</v>
      </c>
      <c r="C112" s="92"/>
      <c r="D112" s="24"/>
      <c r="E112" s="25"/>
    </row>
    <row r="113" ht="12.95" customHeight="1" thickTop="1"/>
    <row r="114" ht="12.95" customHeight="1" thickBot="1"/>
    <row r="115" spans="1:6" ht="30" customHeight="1" thickTop="1">
      <c r="A115" s="1" t="s">
        <v>7</v>
      </c>
      <c r="B115" s="2">
        <v>85</v>
      </c>
      <c r="C115" s="3" t="s">
        <v>5</v>
      </c>
      <c r="D115" s="4" t="s">
        <v>68</v>
      </c>
      <c r="E115" s="5" t="s">
        <v>58</v>
      </c>
      <c r="F115" s="95"/>
    </row>
    <row r="116" spans="1:6" ht="30" customHeight="1">
      <c r="A116" s="6" t="s">
        <v>2</v>
      </c>
      <c r="B116" s="7" t="s">
        <v>67</v>
      </c>
      <c r="C116" s="96"/>
      <c r="D116" s="53" t="s">
        <v>69</v>
      </c>
      <c r="E116" s="97" t="s">
        <v>59</v>
      </c>
      <c r="F116" s="95"/>
    </row>
    <row r="117" spans="1:6" ht="30" customHeight="1">
      <c r="A117" s="6" t="s">
        <v>10</v>
      </c>
      <c r="B117" s="7"/>
      <c r="C117" s="96"/>
      <c r="D117" s="53" t="s">
        <v>1</v>
      </c>
      <c r="E117" s="97" t="s">
        <v>60</v>
      </c>
      <c r="F117" s="95"/>
    </row>
    <row r="118" spans="1:6" ht="30" customHeight="1" thickBot="1">
      <c r="A118" s="6" t="s">
        <v>3</v>
      </c>
      <c r="B118" s="7"/>
      <c r="C118" s="98"/>
      <c r="D118" s="99"/>
      <c r="E118" s="100"/>
      <c r="F118" s="95"/>
    </row>
    <row r="119" spans="1:6" ht="30" customHeight="1">
      <c r="A119" s="6" t="s">
        <v>4</v>
      </c>
      <c r="B119" s="7" t="s">
        <v>71</v>
      </c>
      <c r="C119" s="10" t="s">
        <v>6</v>
      </c>
      <c r="D119" s="11">
        <v>40</v>
      </c>
      <c r="E119" s="101"/>
      <c r="F119" s="95"/>
    </row>
    <row r="120" spans="1:6" ht="30" customHeight="1" thickBot="1">
      <c r="A120" s="12" t="s">
        <v>11</v>
      </c>
      <c r="B120" s="84" t="s">
        <v>272</v>
      </c>
      <c r="C120" s="13" t="s">
        <v>0</v>
      </c>
      <c r="D120" s="14">
        <f>IF(D119&lt;0,"valor del indicador fuera de rango",IF(D119&lt;=36,-0.0139*D119+1,IF(D119&lt;=131,(-0.00526*D119)+0.689,IF(D119&lt;=140,0,"valor del indicador fuera rango"))))</f>
        <v>0.4785999999999999</v>
      </c>
      <c r="E120" s="102"/>
      <c r="F120" s="95"/>
    </row>
    <row r="121" spans="1:6" ht="30" customHeight="1">
      <c r="A121" s="15" t="s">
        <v>9</v>
      </c>
      <c r="B121" s="16" t="s">
        <v>0</v>
      </c>
      <c r="C121" s="189" t="s">
        <v>8</v>
      </c>
      <c r="D121" s="190"/>
      <c r="E121" s="191"/>
      <c r="F121" s="95"/>
    </row>
    <row r="122" spans="1:6" ht="12.95" customHeight="1">
      <c r="A122" s="103">
        <v>0</v>
      </c>
      <c r="B122" s="124">
        <f>-0.0139*A122+1</f>
        <v>1</v>
      </c>
      <c r="C122" s="104"/>
      <c r="D122" s="104"/>
      <c r="E122" s="105"/>
      <c r="F122" s="95"/>
    </row>
    <row r="123" spans="1:6" ht="12.95" customHeight="1">
      <c r="A123" s="106">
        <f aca="true" t="shared" si="8" ref="A123:A150">A122+5</f>
        <v>5</v>
      </c>
      <c r="B123" s="124">
        <f aca="true" t="shared" si="9" ref="B123:B129">-0.0139*A123+1</f>
        <v>0.9305</v>
      </c>
      <c r="C123" s="107"/>
      <c r="D123" s="104"/>
      <c r="E123" s="105"/>
      <c r="F123" s="95"/>
    </row>
    <row r="124" spans="1:6" ht="12.95" customHeight="1">
      <c r="A124" s="106">
        <f t="shared" si="8"/>
        <v>10</v>
      </c>
      <c r="B124" s="124">
        <f t="shared" si="9"/>
        <v>0.861</v>
      </c>
      <c r="C124" s="107"/>
      <c r="D124" s="104"/>
      <c r="E124" s="105"/>
      <c r="F124" s="95"/>
    </row>
    <row r="125" spans="1:6" ht="12.95" customHeight="1">
      <c r="A125" s="106">
        <f t="shared" si="8"/>
        <v>15</v>
      </c>
      <c r="B125" s="124">
        <f t="shared" si="9"/>
        <v>0.7915</v>
      </c>
      <c r="C125" s="107"/>
      <c r="D125" s="104"/>
      <c r="E125" s="105"/>
      <c r="F125" s="95"/>
    </row>
    <row r="126" spans="1:6" ht="12.95" customHeight="1">
      <c r="A126" s="106">
        <f t="shared" si="8"/>
        <v>20</v>
      </c>
      <c r="B126" s="124">
        <f t="shared" si="9"/>
        <v>0.722</v>
      </c>
      <c r="C126" s="107"/>
      <c r="D126" s="104"/>
      <c r="E126" s="105"/>
      <c r="F126" s="95"/>
    </row>
    <row r="127" spans="1:6" ht="12.95" customHeight="1">
      <c r="A127" s="106">
        <f t="shared" si="8"/>
        <v>25</v>
      </c>
      <c r="B127" s="124">
        <f t="shared" si="9"/>
        <v>0.6525000000000001</v>
      </c>
      <c r="C127" s="107"/>
      <c r="D127" s="104"/>
      <c r="E127" s="105"/>
      <c r="F127" s="95"/>
    </row>
    <row r="128" spans="1:6" ht="12.95" customHeight="1">
      <c r="A128" s="106">
        <f t="shared" si="8"/>
        <v>30</v>
      </c>
      <c r="B128" s="124">
        <f t="shared" si="9"/>
        <v>0.583</v>
      </c>
      <c r="C128" s="107"/>
      <c r="D128" s="104"/>
      <c r="E128" s="105"/>
      <c r="F128" s="95"/>
    </row>
    <row r="129" spans="1:6" ht="12.95" customHeight="1">
      <c r="A129" s="106">
        <f t="shared" si="8"/>
        <v>35</v>
      </c>
      <c r="B129" s="124">
        <f t="shared" si="9"/>
        <v>0.5135000000000001</v>
      </c>
      <c r="C129" s="107"/>
      <c r="D129" s="104"/>
      <c r="E129" s="105"/>
      <c r="F129" s="95"/>
    </row>
    <row r="130" spans="1:6" ht="12.95" customHeight="1">
      <c r="A130" s="108">
        <f t="shared" si="8"/>
        <v>40</v>
      </c>
      <c r="B130" s="125">
        <f>-0.00526*A130+0.689</f>
        <v>0.4785999999999999</v>
      </c>
      <c r="C130" s="107"/>
      <c r="D130" s="104"/>
      <c r="E130" s="105"/>
      <c r="F130" s="95"/>
    </row>
    <row r="131" spans="1:6" ht="12.95" customHeight="1">
      <c r="A131" s="108">
        <f t="shared" si="8"/>
        <v>45</v>
      </c>
      <c r="B131" s="125">
        <f aca="true" t="shared" si="10" ref="B131:B148">-0.00526*A131+0.689</f>
        <v>0.4522999999999999</v>
      </c>
      <c r="C131" s="107"/>
      <c r="D131" s="104"/>
      <c r="E131" s="105"/>
      <c r="F131" s="95"/>
    </row>
    <row r="132" spans="1:6" ht="12.95" customHeight="1">
      <c r="A132" s="108">
        <f t="shared" si="8"/>
        <v>50</v>
      </c>
      <c r="B132" s="125">
        <f t="shared" si="10"/>
        <v>0.42599999999999993</v>
      </c>
      <c r="C132" s="107"/>
      <c r="D132" s="104"/>
      <c r="E132" s="105"/>
      <c r="F132" s="95"/>
    </row>
    <row r="133" spans="1:6" ht="12.95" customHeight="1">
      <c r="A133" s="108">
        <f t="shared" si="8"/>
        <v>55</v>
      </c>
      <c r="B133" s="125">
        <f t="shared" si="10"/>
        <v>0.39969999999999994</v>
      </c>
      <c r="C133" s="107"/>
      <c r="D133" s="104"/>
      <c r="E133" s="105"/>
      <c r="F133" s="95"/>
    </row>
    <row r="134" spans="1:6" ht="12.95" customHeight="1">
      <c r="A134" s="108">
        <f t="shared" si="8"/>
        <v>60</v>
      </c>
      <c r="B134" s="125">
        <f t="shared" si="10"/>
        <v>0.37339999999999995</v>
      </c>
      <c r="C134" s="107"/>
      <c r="D134" s="104"/>
      <c r="E134" s="105"/>
      <c r="F134" s="95"/>
    </row>
    <row r="135" spans="1:6" ht="12.95" customHeight="1">
      <c r="A135" s="108">
        <f t="shared" si="8"/>
        <v>65</v>
      </c>
      <c r="B135" s="125">
        <f t="shared" si="10"/>
        <v>0.34709999999999996</v>
      </c>
      <c r="C135" s="119"/>
      <c r="D135" s="118"/>
      <c r="E135" s="120"/>
      <c r="F135" s="121"/>
    </row>
    <row r="136" spans="1:6" ht="12.95" customHeight="1">
      <c r="A136" s="108">
        <f t="shared" si="8"/>
        <v>70</v>
      </c>
      <c r="B136" s="125">
        <f t="shared" si="10"/>
        <v>0.3208</v>
      </c>
      <c r="C136" s="109"/>
      <c r="D136" s="110"/>
      <c r="E136" s="111"/>
      <c r="F136" s="121"/>
    </row>
    <row r="137" spans="1:6" ht="12.95" customHeight="1">
      <c r="A137" s="108">
        <f t="shared" si="8"/>
        <v>75</v>
      </c>
      <c r="B137" s="125">
        <f t="shared" si="10"/>
        <v>0.29449999999999993</v>
      </c>
      <c r="C137" s="109"/>
      <c r="D137" s="110"/>
      <c r="E137" s="111"/>
      <c r="F137" s="121"/>
    </row>
    <row r="138" spans="1:6" ht="12.95" customHeight="1">
      <c r="A138" s="108">
        <f t="shared" si="8"/>
        <v>80</v>
      </c>
      <c r="B138" s="125">
        <f t="shared" si="10"/>
        <v>0.26819999999999994</v>
      </c>
      <c r="C138" s="109"/>
      <c r="D138" s="110"/>
      <c r="E138" s="111"/>
      <c r="F138" s="121"/>
    </row>
    <row r="139" spans="1:6" ht="12.95" customHeight="1">
      <c r="A139" s="108">
        <f t="shared" si="8"/>
        <v>85</v>
      </c>
      <c r="B139" s="125">
        <f t="shared" si="10"/>
        <v>0.24189999999999995</v>
      </c>
      <c r="C139" s="109"/>
      <c r="D139" s="110"/>
      <c r="E139" s="111"/>
      <c r="F139" s="121"/>
    </row>
    <row r="140" spans="1:6" ht="12.95" customHeight="1">
      <c r="A140" s="108">
        <f t="shared" si="8"/>
        <v>90</v>
      </c>
      <c r="B140" s="125">
        <f t="shared" si="10"/>
        <v>0.21559999999999996</v>
      </c>
      <c r="C140" s="109"/>
      <c r="D140" s="110"/>
      <c r="E140" s="111"/>
      <c r="F140" s="121"/>
    </row>
    <row r="141" spans="1:6" ht="12.95" customHeight="1">
      <c r="A141" s="108">
        <f t="shared" si="8"/>
        <v>95</v>
      </c>
      <c r="B141" s="125">
        <f t="shared" si="10"/>
        <v>0.18929999999999997</v>
      </c>
      <c r="C141" s="109"/>
      <c r="D141" s="110"/>
      <c r="E141" s="111"/>
      <c r="F141" s="121"/>
    </row>
    <row r="142" spans="1:6" ht="12.95" customHeight="1">
      <c r="A142" s="108">
        <f t="shared" si="8"/>
        <v>100</v>
      </c>
      <c r="B142" s="125">
        <f t="shared" si="10"/>
        <v>0.16299999999999992</v>
      </c>
      <c r="C142" s="109"/>
      <c r="D142" s="110"/>
      <c r="E142" s="111"/>
      <c r="F142" s="121"/>
    </row>
    <row r="143" spans="1:6" ht="12.95" customHeight="1">
      <c r="A143" s="108">
        <f t="shared" si="8"/>
        <v>105</v>
      </c>
      <c r="B143" s="125">
        <f t="shared" si="10"/>
        <v>0.13669999999999993</v>
      </c>
      <c r="C143" s="109"/>
      <c r="D143" s="110"/>
      <c r="E143" s="111"/>
      <c r="F143" s="121"/>
    </row>
    <row r="144" spans="1:6" ht="12.95" customHeight="1">
      <c r="A144" s="108">
        <f t="shared" si="8"/>
        <v>110</v>
      </c>
      <c r="B144" s="125">
        <f t="shared" si="10"/>
        <v>0.11039999999999994</v>
      </c>
      <c r="C144" s="109"/>
      <c r="D144" s="110"/>
      <c r="E144" s="111"/>
      <c r="F144" s="121"/>
    </row>
    <row r="145" spans="1:6" ht="12.95" customHeight="1">
      <c r="A145" s="108">
        <f t="shared" si="8"/>
        <v>115</v>
      </c>
      <c r="B145" s="125">
        <f t="shared" si="10"/>
        <v>0.08409999999999995</v>
      </c>
      <c r="C145" s="109"/>
      <c r="D145" s="110"/>
      <c r="E145" s="111"/>
      <c r="F145" s="121"/>
    </row>
    <row r="146" spans="1:6" ht="12.95" customHeight="1">
      <c r="A146" s="108">
        <f t="shared" si="8"/>
        <v>120</v>
      </c>
      <c r="B146" s="125">
        <f t="shared" si="10"/>
        <v>0.05779999999999996</v>
      </c>
      <c r="C146" s="109"/>
      <c r="D146" s="109"/>
      <c r="E146" s="112"/>
      <c r="F146" s="122"/>
    </row>
    <row r="147" spans="1:6" ht="12.95" customHeight="1">
      <c r="A147" s="108">
        <f t="shared" si="8"/>
        <v>125</v>
      </c>
      <c r="B147" s="125">
        <f t="shared" si="10"/>
        <v>0.03149999999999997</v>
      </c>
      <c r="C147" s="109"/>
      <c r="D147" s="109"/>
      <c r="E147" s="112"/>
      <c r="F147" s="122"/>
    </row>
    <row r="148" spans="1:6" ht="12.95" customHeight="1">
      <c r="A148" s="108">
        <f t="shared" si="8"/>
        <v>130</v>
      </c>
      <c r="B148" s="125">
        <f t="shared" si="10"/>
        <v>0.005199999999999982</v>
      </c>
      <c r="C148" s="110"/>
      <c r="D148" s="110"/>
      <c r="E148" s="111"/>
      <c r="F148" s="121"/>
    </row>
    <row r="149" spans="1:6" ht="12.95" customHeight="1">
      <c r="A149" s="113">
        <f t="shared" si="8"/>
        <v>135</v>
      </c>
      <c r="B149" s="126">
        <v>0</v>
      </c>
      <c r="C149" s="110"/>
      <c r="D149" s="110"/>
      <c r="E149" s="111"/>
      <c r="F149" s="121"/>
    </row>
    <row r="150" spans="1:6" ht="12.95" customHeight="1" thickBot="1">
      <c r="A150" s="123">
        <f t="shared" si="8"/>
        <v>140</v>
      </c>
      <c r="B150" s="127">
        <v>0</v>
      </c>
      <c r="C150" s="110"/>
      <c r="D150" s="110"/>
      <c r="E150" s="111"/>
      <c r="F150" s="121"/>
    </row>
    <row r="151" spans="1:6" ht="12.95" customHeight="1" thickTop="1">
      <c r="A151" s="114"/>
      <c r="B151" s="110"/>
      <c r="C151" s="110"/>
      <c r="D151" s="110"/>
      <c r="E151" s="111"/>
      <c r="F151" s="118"/>
    </row>
    <row r="152" spans="1:6" ht="12.95" customHeight="1">
      <c r="A152" s="114"/>
      <c r="B152" s="110"/>
      <c r="C152" s="110"/>
      <c r="D152" s="110"/>
      <c r="E152" s="111"/>
      <c r="F152" s="118"/>
    </row>
    <row r="153" spans="1:6" ht="12.95" customHeight="1">
      <c r="A153" s="114"/>
      <c r="B153" s="110"/>
      <c r="C153" s="110"/>
      <c r="D153" s="110"/>
      <c r="E153" s="111"/>
      <c r="F153" s="118"/>
    </row>
    <row r="154" spans="1:6" ht="12.95" customHeight="1">
      <c r="A154" s="114"/>
      <c r="B154" s="110"/>
      <c r="C154" s="110"/>
      <c r="D154" s="110"/>
      <c r="E154" s="111"/>
      <c r="F154" s="118"/>
    </row>
    <row r="155" spans="1:6" ht="12.95" customHeight="1">
      <c r="A155" s="114"/>
      <c r="B155" s="110"/>
      <c r="C155" s="110"/>
      <c r="D155" s="110"/>
      <c r="E155" s="111"/>
      <c r="F155" s="118"/>
    </row>
    <row r="156" spans="1:6" ht="12.95" customHeight="1">
      <c r="A156" s="114"/>
      <c r="B156" s="110"/>
      <c r="C156" s="110"/>
      <c r="D156" s="110"/>
      <c r="E156" s="111"/>
      <c r="F156" s="118"/>
    </row>
    <row r="157" spans="1:6" ht="12.95" customHeight="1">
      <c r="A157" s="114"/>
      <c r="B157" s="110"/>
      <c r="C157" s="110"/>
      <c r="D157" s="110"/>
      <c r="E157" s="111"/>
      <c r="F157" s="118"/>
    </row>
    <row r="158" spans="1:6" ht="12.95" customHeight="1">
      <c r="A158" s="114"/>
      <c r="B158" s="110"/>
      <c r="C158" s="110"/>
      <c r="D158" s="110"/>
      <c r="E158" s="111"/>
      <c r="F158" s="118"/>
    </row>
    <row r="159" spans="1:6" ht="12.95" customHeight="1" thickBot="1">
      <c r="A159" s="115"/>
      <c r="B159" s="116"/>
      <c r="C159" s="116"/>
      <c r="D159" s="116"/>
      <c r="E159" s="117"/>
      <c r="F159" s="118"/>
    </row>
    <row r="160" spans="1:6" ht="12.95" customHeight="1" thickBot="1" thickTop="1">
      <c r="A160" s="116"/>
      <c r="B160" s="116"/>
      <c r="C160" s="116"/>
      <c r="D160" s="116"/>
      <c r="E160" s="117"/>
      <c r="F160" s="118"/>
    </row>
    <row r="161" spans="1:6" ht="12.95" customHeight="1" thickTop="1">
      <c r="A161" s="118"/>
      <c r="B161" s="118"/>
      <c r="C161" s="118"/>
      <c r="D161" s="118"/>
      <c r="E161" s="118"/>
      <c r="F161" s="118"/>
    </row>
    <row r="162" ht="12.75" customHeight="1" thickBot="1"/>
    <row r="163" spans="1:5" ht="30" customHeight="1" thickTop="1">
      <c r="A163" s="1" t="s">
        <v>7</v>
      </c>
      <c r="B163" s="2">
        <v>86</v>
      </c>
      <c r="C163" s="3" t="s">
        <v>5</v>
      </c>
      <c r="D163" s="128" t="s">
        <v>27</v>
      </c>
      <c r="E163" s="5" t="s">
        <v>28</v>
      </c>
    </row>
    <row r="164" spans="1:5" ht="30" customHeight="1">
      <c r="A164" s="6" t="s">
        <v>2</v>
      </c>
      <c r="B164" s="7" t="s">
        <v>30</v>
      </c>
      <c r="C164" s="8"/>
      <c r="D164" s="53" t="s">
        <v>32</v>
      </c>
      <c r="E164" s="129" t="s">
        <v>29</v>
      </c>
    </row>
    <row r="165" spans="1:5" ht="30" customHeight="1">
      <c r="A165" s="6" t="s">
        <v>10</v>
      </c>
      <c r="B165" s="7"/>
      <c r="C165" s="8"/>
      <c r="D165" s="55"/>
      <c r="E165" s="9"/>
    </row>
    <row r="166" spans="1:5" ht="30" customHeight="1" thickBot="1">
      <c r="A166" s="6" t="s">
        <v>3</v>
      </c>
      <c r="B166" s="7"/>
      <c r="C166" s="83"/>
      <c r="D166" s="56"/>
      <c r="E166" s="57"/>
    </row>
    <row r="167" spans="1:5" ht="30" customHeight="1">
      <c r="A167" s="6" t="s">
        <v>4</v>
      </c>
      <c r="B167" s="7" t="s">
        <v>75</v>
      </c>
      <c r="C167" s="10" t="s">
        <v>6</v>
      </c>
      <c r="D167" s="11">
        <v>2</v>
      </c>
      <c r="E167" s="58"/>
    </row>
    <row r="168" spans="1:5" ht="30" customHeight="1" thickBot="1">
      <c r="A168" s="12" t="s">
        <v>11</v>
      </c>
      <c r="B168" s="84" t="s">
        <v>272</v>
      </c>
      <c r="C168" s="13" t="s">
        <v>0</v>
      </c>
      <c r="D168" s="14">
        <f>IF(D167&lt;0.2,"valor del indicador fuera de rango",IF(D167&lt;=1,(1.56*D167^2-0.625*D167+0.0625),IF(D167&lt;=5,(-0.0333*D167^2-0.05*D167+1.08),"valor del indicador fuera rango")))</f>
        <v>0.8468</v>
      </c>
      <c r="E168" s="59"/>
    </row>
    <row r="169" spans="1:5" ht="30" customHeight="1">
      <c r="A169" s="15" t="s">
        <v>9</v>
      </c>
      <c r="B169" s="16" t="s">
        <v>0</v>
      </c>
      <c r="C169" s="192" t="s">
        <v>8</v>
      </c>
      <c r="D169" s="193"/>
      <c r="E169" s="194"/>
    </row>
    <row r="170" spans="1:5" ht="12.95" customHeight="1">
      <c r="A170" s="17">
        <v>0.2</v>
      </c>
      <c r="B170" s="18">
        <f>(1.56*(A170^2))-(0.625*A170)+0.0625</f>
        <v>-9.999999999998899E-05</v>
      </c>
      <c r="C170" s="19"/>
      <c r="D170" s="19"/>
      <c r="E170" s="20"/>
    </row>
    <row r="171" spans="1:5" ht="12.95" customHeight="1">
      <c r="A171" s="21">
        <f>+A170+0.1</f>
        <v>0.30000000000000004</v>
      </c>
      <c r="B171" s="18">
        <f aca="true" t="shared" si="11" ref="B171:B179">(1.56*(A171^2))-(0.625*A171)+0.0625</f>
        <v>0.015400000000000025</v>
      </c>
      <c r="C171" s="85"/>
      <c r="D171" s="19"/>
      <c r="E171" s="20"/>
    </row>
    <row r="172" spans="1:5" ht="12.95" customHeight="1">
      <c r="A172" s="21">
        <f aca="true" t="shared" si="12" ref="A172:A177">+A171+0.1</f>
        <v>0.4</v>
      </c>
      <c r="B172" s="18">
        <f t="shared" si="11"/>
        <v>0.062100000000000044</v>
      </c>
      <c r="C172" s="85"/>
      <c r="D172" s="19"/>
      <c r="E172" s="20"/>
    </row>
    <row r="173" spans="1:5" ht="12.95" customHeight="1">
      <c r="A173" s="21">
        <f t="shared" si="12"/>
        <v>0.5</v>
      </c>
      <c r="B173" s="18">
        <f t="shared" si="11"/>
        <v>0.14</v>
      </c>
      <c r="C173" s="85"/>
      <c r="D173" s="19"/>
      <c r="E173" s="20"/>
    </row>
    <row r="174" spans="1:5" ht="12.95" customHeight="1">
      <c r="A174" s="21">
        <f t="shared" si="12"/>
        <v>0.6</v>
      </c>
      <c r="B174" s="18">
        <f t="shared" si="11"/>
        <v>0.2491</v>
      </c>
      <c r="C174" s="85"/>
      <c r="D174" s="19"/>
      <c r="E174" s="20"/>
    </row>
    <row r="175" spans="1:5" ht="12.95" customHeight="1">
      <c r="A175" s="21">
        <f t="shared" si="12"/>
        <v>0.7</v>
      </c>
      <c r="B175" s="18">
        <f t="shared" si="11"/>
        <v>0.38939999999999997</v>
      </c>
      <c r="C175" s="85"/>
      <c r="D175" s="19"/>
      <c r="E175" s="20"/>
    </row>
    <row r="176" spans="1:5" ht="12.95" customHeight="1">
      <c r="A176" s="21">
        <f t="shared" si="12"/>
        <v>0.7999999999999999</v>
      </c>
      <c r="B176" s="18">
        <f t="shared" si="11"/>
        <v>0.5609</v>
      </c>
      <c r="C176" s="85"/>
      <c r="D176" s="19"/>
      <c r="E176" s="20"/>
    </row>
    <row r="177" spans="1:5" ht="12.95" customHeight="1">
      <c r="A177" s="21">
        <f t="shared" si="12"/>
        <v>0.8999999999999999</v>
      </c>
      <c r="B177" s="18">
        <f t="shared" si="11"/>
        <v>0.7635999999999998</v>
      </c>
      <c r="C177" s="85"/>
      <c r="D177" s="19"/>
      <c r="E177" s="20"/>
    </row>
    <row r="178" spans="1:5" ht="12.95" customHeight="1">
      <c r="A178" s="21">
        <v>0.95</v>
      </c>
      <c r="B178" s="18">
        <f t="shared" si="11"/>
        <v>0.8766499999999999</v>
      </c>
      <c r="C178" s="85"/>
      <c r="D178" s="19"/>
      <c r="E178" s="20"/>
    </row>
    <row r="179" spans="1:5" ht="12.95" customHeight="1">
      <c r="A179" s="21">
        <v>1</v>
      </c>
      <c r="B179" s="18">
        <f t="shared" si="11"/>
        <v>0.9975</v>
      </c>
      <c r="C179" s="85"/>
      <c r="D179" s="19"/>
      <c r="E179" s="20"/>
    </row>
    <row r="180" spans="1:5" ht="12.95" customHeight="1">
      <c r="A180" s="60">
        <v>1</v>
      </c>
      <c r="B180" s="54">
        <f>(-0.0333*(A180^2))-(0.05*A180)+1.08</f>
        <v>0.9967</v>
      </c>
      <c r="C180" s="85"/>
      <c r="D180" s="19"/>
      <c r="E180" s="20"/>
    </row>
    <row r="181" spans="1:5" ht="12.95" customHeight="1">
      <c r="A181" s="60">
        <f aca="true" t="shared" si="13" ref="A181:A198">A180+0.2</f>
        <v>1.2</v>
      </c>
      <c r="B181" s="54">
        <f>(-0.0333*(A181^2))-(0.05*A181)+1.08</f>
        <v>0.972048</v>
      </c>
      <c r="C181" s="85"/>
      <c r="D181" s="19"/>
      <c r="E181" s="20"/>
    </row>
    <row r="182" spans="1:5" ht="12.95" customHeight="1">
      <c r="A182" s="60">
        <f t="shared" si="13"/>
        <v>1.4</v>
      </c>
      <c r="B182" s="54">
        <f>(-0.0333*(A182^2))-(0.05*A182)+1.08</f>
        <v>0.9447320000000001</v>
      </c>
      <c r="C182" s="85"/>
      <c r="D182" s="19"/>
      <c r="E182" s="20"/>
    </row>
    <row r="183" spans="1:5" ht="12.95" customHeight="1">
      <c r="A183" s="60">
        <f t="shared" si="13"/>
        <v>1.5999999999999999</v>
      </c>
      <c r="B183" s="54">
        <f>(-0.0333*(A183^2))-(0.05*A183)+1.08</f>
        <v>0.914752</v>
      </c>
      <c r="C183" s="85"/>
      <c r="D183" s="19"/>
      <c r="E183" s="20"/>
    </row>
    <row r="184" spans="1:5" ht="12.95" customHeight="1">
      <c r="A184" s="60">
        <f t="shared" si="13"/>
        <v>1.7999999999999998</v>
      </c>
      <c r="B184" s="54">
        <f>(-0.0333*(A184^2))-(0.05*A184)+1.08</f>
        <v>0.8821080000000001</v>
      </c>
      <c r="C184" s="85"/>
      <c r="D184" s="19"/>
      <c r="E184" s="20"/>
    </row>
    <row r="185" spans="1:5" ht="12.95" customHeight="1">
      <c r="A185" s="60">
        <f t="shared" si="13"/>
        <v>1.9999999999999998</v>
      </c>
      <c r="B185" s="54">
        <f aca="true" t="shared" si="14" ref="B185:B198">(-0.0333*(A185^2))-(0.05*A185)+1.08</f>
        <v>0.8468000000000001</v>
      </c>
      <c r="C185" s="85"/>
      <c r="D185" s="19"/>
      <c r="E185" s="20"/>
    </row>
    <row r="186" spans="1:5" ht="12.95" customHeight="1">
      <c r="A186" s="60">
        <f t="shared" si="13"/>
        <v>2.1999999999999997</v>
      </c>
      <c r="B186" s="54">
        <f t="shared" si="14"/>
        <v>0.8088280000000001</v>
      </c>
      <c r="C186" s="85"/>
      <c r="D186" s="19"/>
      <c r="E186" s="20"/>
    </row>
    <row r="187" spans="1:5" ht="12.95" customHeight="1">
      <c r="A187" s="60">
        <f t="shared" si="13"/>
        <v>2.4</v>
      </c>
      <c r="B187" s="54">
        <f t="shared" si="14"/>
        <v>0.7681920000000001</v>
      </c>
      <c r="C187" s="85"/>
      <c r="D187" s="19"/>
      <c r="E187" s="20"/>
    </row>
    <row r="188" spans="1:5" ht="12.95" customHeight="1">
      <c r="A188" s="60">
        <f t="shared" si="13"/>
        <v>2.6</v>
      </c>
      <c r="B188" s="54">
        <f t="shared" si="14"/>
        <v>0.7248920000000001</v>
      </c>
      <c r="C188" s="85"/>
      <c r="D188" s="19"/>
      <c r="E188" s="20"/>
    </row>
    <row r="189" spans="1:5" ht="12.95" customHeight="1">
      <c r="A189" s="60">
        <f t="shared" si="13"/>
        <v>2.8000000000000003</v>
      </c>
      <c r="B189" s="54">
        <f t="shared" si="14"/>
        <v>0.678928</v>
      </c>
      <c r="C189" s="85"/>
      <c r="D189" s="19"/>
      <c r="E189" s="20"/>
    </row>
    <row r="190" spans="1:5" ht="12.95" customHeight="1">
      <c r="A190" s="60">
        <f t="shared" si="13"/>
        <v>3.0000000000000004</v>
      </c>
      <c r="B190" s="54">
        <f t="shared" si="14"/>
        <v>0.6302999999999999</v>
      </c>
      <c r="C190" s="85"/>
      <c r="D190" s="19"/>
      <c r="E190" s="20"/>
    </row>
    <row r="191" spans="1:5" ht="12.95" customHeight="1">
      <c r="A191" s="60">
        <f t="shared" si="13"/>
        <v>3.2000000000000006</v>
      </c>
      <c r="B191" s="54">
        <f t="shared" si="14"/>
        <v>0.5790079999999999</v>
      </c>
      <c r="C191" s="85"/>
      <c r="D191" s="19"/>
      <c r="E191" s="20"/>
    </row>
    <row r="192" spans="1:5" ht="12.95" customHeight="1">
      <c r="A192" s="60">
        <f t="shared" si="13"/>
        <v>3.400000000000001</v>
      </c>
      <c r="B192" s="54">
        <f t="shared" si="14"/>
        <v>0.5250519999999999</v>
      </c>
      <c r="C192" s="85"/>
      <c r="D192" s="19"/>
      <c r="E192" s="20"/>
    </row>
    <row r="193" spans="1:5" ht="12.95" customHeight="1">
      <c r="A193" s="60">
        <f t="shared" si="13"/>
        <v>3.600000000000001</v>
      </c>
      <c r="B193" s="54">
        <f t="shared" si="14"/>
        <v>0.46843199999999974</v>
      </c>
      <c r="C193" s="85"/>
      <c r="D193" s="19"/>
      <c r="E193" s="20"/>
    </row>
    <row r="194" spans="1:5" ht="12.95" customHeight="1">
      <c r="A194" s="60">
        <f t="shared" si="13"/>
        <v>3.800000000000001</v>
      </c>
      <c r="B194" s="54">
        <f t="shared" si="14"/>
        <v>0.4091479999999996</v>
      </c>
      <c r="C194" s="85"/>
      <c r="D194" s="85"/>
      <c r="E194" s="86"/>
    </row>
    <row r="195" spans="1:5" ht="12.95" customHeight="1">
      <c r="A195" s="60">
        <f t="shared" si="13"/>
        <v>4.000000000000001</v>
      </c>
      <c r="B195" s="54">
        <f t="shared" si="14"/>
        <v>0.34719999999999973</v>
      </c>
      <c r="C195" s="85"/>
      <c r="D195" s="85"/>
      <c r="E195" s="86"/>
    </row>
    <row r="196" spans="1:5" ht="12.95" customHeight="1">
      <c r="A196" s="60">
        <f t="shared" si="13"/>
        <v>4.200000000000001</v>
      </c>
      <c r="B196" s="54">
        <f t="shared" si="14"/>
        <v>0.28258799999999973</v>
      </c>
      <c r="C196" s="19"/>
      <c r="D196" s="19"/>
      <c r="E196" s="20"/>
    </row>
    <row r="197" spans="1:5" ht="12.95" customHeight="1">
      <c r="A197" s="60">
        <f t="shared" si="13"/>
        <v>4.400000000000001</v>
      </c>
      <c r="B197" s="54">
        <f t="shared" si="14"/>
        <v>0.21531199999999961</v>
      </c>
      <c r="C197" s="19"/>
      <c r="D197" s="19"/>
      <c r="E197" s="20"/>
    </row>
    <row r="198" spans="1:5" ht="12.95" customHeight="1">
      <c r="A198" s="60">
        <f t="shared" si="13"/>
        <v>4.600000000000001</v>
      </c>
      <c r="B198" s="54">
        <f t="shared" si="14"/>
        <v>0.1453719999999994</v>
      </c>
      <c r="C198" s="19"/>
      <c r="D198" s="19"/>
      <c r="E198" s="20"/>
    </row>
    <row r="199" spans="1:5" ht="12.95" customHeight="1" thickBot="1">
      <c r="A199" s="81">
        <v>5</v>
      </c>
      <c r="B199" s="91">
        <v>0</v>
      </c>
      <c r="C199" s="24"/>
      <c r="D199" s="24"/>
      <c r="E199" s="25"/>
    </row>
    <row r="200" spans="1:5" ht="12.95" customHeight="1" thickTop="1">
      <c r="A200"/>
      <c r="B200"/>
      <c r="C200"/>
      <c r="D200"/>
      <c r="E200"/>
    </row>
    <row r="201" spans="1:5" ht="12.95" customHeight="1" thickBot="1">
      <c r="A201"/>
      <c r="B201"/>
      <c r="C201"/>
      <c r="D201"/>
      <c r="E201"/>
    </row>
    <row r="202" spans="1:5" ht="30" customHeight="1" thickTop="1">
      <c r="A202" s="1" t="s">
        <v>7</v>
      </c>
      <c r="B202" s="2">
        <v>87</v>
      </c>
      <c r="C202" s="3" t="s">
        <v>5</v>
      </c>
      <c r="D202" s="4" t="s">
        <v>33</v>
      </c>
      <c r="E202" s="5" t="s">
        <v>34</v>
      </c>
    </row>
    <row r="203" spans="1:5" ht="30" customHeight="1">
      <c r="A203" s="6" t="s">
        <v>2</v>
      </c>
      <c r="B203" s="7" t="s">
        <v>31</v>
      </c>
      <c r="C203" s="8"/>
      <c r="D203" s="53" t="s">
        <v>35</v>
      </c>
      <c r="E203" s="97" t="s">
        <v>36</v>
      </c>
    </row>
    <row r="204" spans="1:5" ht="30" customHeight="1">
      <c r="A204" s="6" t="s">
        <v>10</v>
      </c>
      <c r="B204" s="7"/>
      <c r="C204" s="8"/>
      <c r="D204" s="53" t="s">
        <v>37</v>
      </c>
      <c r="E204" s="97" t="s">
        <v>29</v>
      </c>
    </row>
    <row r="205" spans="1:5" ht="30" customHeight="1" thickBot="1">
      <c r="A205" s="6" t="s">
        <v>3</v>
      </c>
      <c r="B205" s="7"/>
      <c r="C205" s="83"/>
      <c r="D205" s="56"/>
      <c r="E205" s="57"/>
    </row>
    <row r="206" spans="1:5" ht="30" customHeight="1">
      <c r="A206" s="6" t="s">
        <v>4</v>
      </c>
      <c r="B206" s="7" t="s">
        <v>75</v>
      </c>
      <c r="C206" s="10" t="s">
        <v>6</v>
      </c>
      <c r="D206" s="11">
        <v>1.4</v>
      </c>
      <c r="E206" s="58"/>
    </row>
    <row r="207" spans="1:5" ht="30" customHeight="1" thickBot="1">
      <c r="A207" s="12" t="s">
        <v>11</v>
      </c>
      <c r="B207" s="84" t="s">
        <v>272</v>
      </c>
      <c r="C207" s="13" t="s">
        <v>0</v>
      </c>
      <c r="D207" s="14">
        <f>IF(D206&lt;0.2,"valor del indicador fuera de rango",IF(D206&lt;=0.5,(5.56*D206^2-2.22*D206+0.222),IF(D206&lt;=1,(-2*D206^2+4*D206-1),IF(D206&lt;=5,(-0.0333*D206^2-0.05*D206+1.08),"valor del indicador fuera rango"))))</f>
        <v>0.9447320000000001</v>
      </c>
      <c r="E207" s="59"/>
    </row>
    <row r="208" spans="1:5" ht="30" customHeight="1">
      <c r="A208" s="15" t="s">
        <v>9</v>
      </c>
      <c r="B208" s="16" t="s">
        <v>0</v>
      </c>
      <c r="C208" s="192" t="s">
        <v>8</v>
      </c>
      <c r="D208" s="193"/>
      <c r="E208" s="194"/>
    </row>
    <row r="209" spans="1:5" ht="12.95" customHeight="1">
      <c r="A209" s="17">
        <v>0.2</v>
      </c>
      <c r="B209" s="18">
        <f>(5.56*(A209^2))-(2.22*A209)+0.222</f>
        <v>0.00039999999999995595</v>
      </c>
      <c r="C209" s="19"/>
      <c r="D209" s="19"/>
      <c r="E209" s="20"/>
    </row>
    <row r="210" spans="1:5" ht="12.95" customHeight="1">
      <c r="A210" s="21">
        <f>+A209+0.1</f>
        <v>0.30000000000000004</v>
      </c>
      <c r="B210" s="18">
        <f>(5.56*(A210^2))-(2.22*A210)+0.222</f>
        <v>0.05639999999999992</v>
      </c>
      <c r="C210" s="85"/>
      <c r="D210" s="19"/>
      <c r="E210" s="20"/>
    </row>
    <row r="211" spans="1:5" ht="12.95" customHeight="1">
      <c r="A211" s="21">
        <f aca="true" t="shared" si="15" ref="A211:A217">+A210+0.1</f>
        <v>0.4</v>
      </c>
      <c r="B211" s="18">
        <f>(5.56*(A211^2))-(2.22*A211)+0.222</f>
        <v>0.22359999999999994</v>
      </c>
      <c r="C211" s="85"/>
      <c r="D211" s="19"/>
      <c r="E211" s="20"/>
    </row>
    <row r="212" spans="1:5" ht="12.95" customHeight="1">
      <c r="A212" s="21">
        <f t="shared" si="15"/>
        <v>0.5</v>
      </c>
      <c r="B212" s="18">
        <f>(5.56*(A212^2))-(2.22*A212)+0.222</f>
        <v>0.5019999999999998</v>
      </c>
      <c r="C212" s="85"/>
      <c r="D212" s="19"/>
      <c r="E212" s="20"/>
    </row>
    <row r="213" spans="1:5" ht="12.95" customHeight="1">
      <c r="A213" s="60">
        <f t="shared" si="15"/>
        <v>0.6</v>
      </c>
      <c r="B213" s="54">
        <f>(-2*(A213^2))+(4*A213)-1</f>
        <v>0.6799999999999999</v>
      </c>
      <c r="C213" s="85"/>
      <c r="D213" s="19"/>
      <c r="E213" s="20"/>
    </row>
    <row r="214" spans="1:5" ht="12.95" customHeight="1">
      <c r="A214" s="60">
        <f t="shared" si="15"/>
        <v>0.7</v>
      </c>
      <c r="B214" s="54">
        <f>(-2*(A214^2))+(4*A214)-1</f>
        <v>0.8199999999999998</v>
      </c>
      <c r="C214" s="85"/>
      <c r="D214" s="19"/>
      <c r="E214" s="20"/>
    </row>
    <row r="215" spans="1:5" ht="12.95" customHeight="1">
      <c r="A215" s="60">
        <f t="shared" si="15"/>
        <v>0.7999999999999999</v>
      </c>
      <c r="B215" s="54">
        <f>(-2*(A215^2))+(4*A215)-1</f>
        <v>0.9199999999999999</v>
      </c>
      <c r="C215" s="85"/>
      <c r="D215" s="19"/>
      <c r="E215" s="20"/>
    </row>
    <row r="216" spans="1:5" ht="12.95" customHeight="1">
      <c r="A216" s="60">
        <f t="shared" si="15"/>
        <v>0.8999999999999999</v>
      </c>
      <c r="B216" s="54">
        <f>(-2*(A216^2))+(4*A216)-1</f>
        <v>0.98</v>
      </c>
      <c r="C216" s="85"/>
      <c r="D216" s="19"/>
      <c r="E216" s="20"/>
    </row>
    <row r="217" spans="1:5" ht="12.95" customHeight="1">
      <c r="A217" s="60">
        <f t="shared" si="15"/>
        <v>0.9999999999999999</v>
      </c>
      <c r="B217" s="54">
        <f>(-2*(A217^2))+(4*A217)-1</f>
        <v>1</v>
      </c>
      <c r="C217" s="85"/>
      <c r="D217" s="19"/>
      <c r="E217" s="20"/>
    </row>
    <row r="218" spans="1:5" ht="12.95" customHeight="1">
      <c r="A218" s="130">
        <f>+A217+0.2</f>
        <v>1.2</v>
      </c>
      <c r="B218" s="131">
        <f>-0.0333*A218^2-0.05*A218+1.08</f>
        <v>0.972048</v>
      </c>
      <c r="C218" s="85"/>
      <c r="D218" s="19"/>
      <c r="E218" s="20"/>
    </row>
    <row r="219" spans="1:5" ht="12.95" customHeight="1">
      <c r="A219" s="130">
        <f aca="true" t="shared" si="16" ref="A219:A236">+A218+0.2</f>
        <v>1.4</v>
      </c>
      <c r="B219" s="131">
        <f aca="true" t="shared" si="17" ref="B219:B237">-0.0333*A219^2-0.05*A219+1.08</f>
        <v>0.9447320000000001</v>
      </c>
      <c r="C219" s="85"/>
      <c r="D219" s="19"/>
      <c r="E219" s="20"/>
    </row>
    <row r="220" spans="1:5" ht="12.95" customHeight="1">
      <c r="A220" s="130">
        <f t="shared" si="16"/>
        <v>1.5999999999999999</v>
      </c>
      <c r="B220" s="131">
        <f t="shared" si="17"/>
        <v>0.914752</v>
      </c>
      <c r="C220" s="85"/>
      <c r="D220" s="19"/>
      <c r="E220" s="20"/>
    </row>
    <row r="221" spans="1:5" ht="12.95" customHeight="1">
      <c r="A221" s="130">
        <f t="shared" si="16"/>
        <v>1.7999999999999998</v>
      </c>
      <c r="B221" s="131">
        <f t="shared" si="17"/>
        <v>0.8821080000000001</v>
      </c>
      <c r="C221" s="85"/>
      <c r="D221" s="19"/>
      <c r="E221" s="20"/>
    </row>
    <row r="222" spans="1:5" ht="12.95" customHeight="1">
      <c r="A222" s="130">
        <f t="shared" si="16"/>
        <v>1.9999999999999998</v>
      </c>
      <c r="B222" s="131">
        <f t="shared" si="17"/>
        <v>0.8468000000000001</v>
      </c>
      <c r="C222" s="85"/>
      <c r="D222" s="19"/>
      <c r="E222" s="20"/>
    </row>
    <row r="223" spans="1:5" ht="12.95" customHeight="1">
      <c r="A223" s="130">
        <f t="shared" si="16"/>
        <v>2.1999999999999997</v>
      </c>
      <c r="B223" s="131">
        <f t="shared" si="17"/>
        <v>0.8088280000000001</v>
      </c>
      <c r="C223" s="85"/>
      <c r="D223" s="19"/>
      <c r="E223" s="20"/>
    </row>
    <row r="224" spans="1:5" ht="12.95" customHeight="1">
      <c r="A224" s="130">
        <f t="shared" si="16"/>
        <v>2.4</v>
      </c>
      <c r="B224" s="131">
        <f t="shared" si="17"/>
        <v>0.7681920000000001</v>
      </c>
      <c r="C224" s="85"/>
      <c r="D224" s="19"/>
      <c r="E224" s="20"/>
    </row>
    <row r="225" spans="1:5" ht="12.95" customHeight="1">
      <c r="A225" s="130">
        <f t="shared" si="16"/>
        <v>2.6</v>
      </c>
      <c r="B225" s="131">
        <f t="shared" si="17"/>
        <v>0.7248920000000001</v>
      </c>
      <c r="C225" s="85"/>
      <c r="D225" s="19"/>
      <c r="E225" s="20"/>
    </row>
    <row r="226" spans="1:5" ht="12.95" customHeight="1">
      <c r="A226" s="130">
        <f t="shared" si="16"/>
        <v>2.8000000000000003</v>
      </c>
      <c r="B226" s="131">
        <f t="shared" si="17"/>
        <v>0.678928</v>
      </c>
      <c r="C226" s="85"/>
      <c r="D226" s="19"/>
      <c r="E226" s="20"/>
    </row>
    <row r="227" spans="1:5" ht="12.95" customHeight="1">
      <c r="A227" s="130">
        <f t="shared" si="16"/>
        <v>3.0000000000000004</v>
      </c>
      <c r="B227" s="131">
        <f t="shared" si="17"/>
        <v>0.6302999999999999</v>
      </c>
      <c r="C227" s="85"/>
      <c r="D227" s="19"/>
      <c r="E227" s="20"/>
    </row>
    <row r="228" spans="1:5" ht="12.95" customHeight="1">
      <c r="A228" s="130">
        <f t="shared" si="16"/>
        <v>3.2000000000000006</v>
      </c>
      <c r="B228" s="131">
        <f t="shared" si="17"/>
        <v>0.5790079999999999</v>
      </c>
      <c r="C228" s="85"/>
      <c r="D228" s="19"/>
      <c r="E228" s="20"/>
    </row>
    <row r="229" spans="1:5" ht="12.95" customHeight="1">
      <c r="A229" s="130">
        <f t="shared" si="16"/>
        <v>3.400000000000001</v>
      </c>
      <c r="B229" s="131">
        <f t="shared" si="17"/>
        <v>0.5250519999999999</v>
      </c>
      <c r="C229" s="85"/>
      <c r="D229" s="19"/>
      <c r="E229" s="20"/>
    </row>
    <row r="230" spans="1:5" ht="12.95" customHeight="1">
      <c r="A230" s="130">
        <f t="shared" si="16"/>
        <v>3.600000000000001</v>
      </c>
      <c r="B230" s="131">
        <f t="shared" si="17"/>
        <v>0.46843199999999974</v>
      </c>
      <c r="C230" s="85"/>
      <c r="D230" s="19"/>
      <c r="E230" s="20"/>
    </row>
    <row r="231" spans="1:5" ht="12.95" customHeight="1">
      <c r="A231" s="130">
        <f t="shared" si="16"/>
        <v>3.800000000000001</v>
      </c>
      <c r="B231" s="131">
        <f t="shared" si="17"/>
        <v>0.4091479999999996</v>
      </c>
      <c r="C231" s="85"/>
      <c r="D231" s="19"/>
      <c r="E231" s="20"/>
    </row>
    <row r="232" spans="1:5" ht="12.95" customHeight="1">
      <c r="A232" s="130">
        <f t="shared" si="16"/>
        <v>4.000000000000001</v>
      </c>
      <c r="B232" s="131">
        <f t="shared" si="17"/>
        <v>0.34719999999999973</v>
      </c>
      <c r="C232" s="85"/>
      <c r="D232" s="19"/>
      <c r="E232" s="20"/>
    </row>
    <row r="233" spans="1:5" ht="12.95" customHeight="1">
      <c r="A233" s="130">
        <f t="shared" si="16"/>
        <v>4.200000000000001</v>
      </c>
      <c r="B233" s="131">
        <f t="shared" si="17"/>
        <v>0.28258799999999973</v>
      </c>
      <c r="C233" s="85"/>
      <c r="D233" s="85"/>
      <c r="E233" s="86"/>
    </row>
    <row r="234" spans="1:5" ht="12.95" customHeight="1">
      <c r="A234" s="130">
        <f t="shared" si="16"/>
        <v>4.400000000000001</v>
      </c>
      <c r="B234" s="131">
        <f t="shared" si="17"/>
        <v>0.21531199999999961</v>
      </c>
      <c r="C234" s="85"/>
      <c r="D234" s="85"/>
      <c r="E234" s="86"/>
    </row>
    <row r="235" spans="1:5" ht="12.95" customHeight="1">
      <c r="A235" s="130">
        <f t="shared" si="16"/>
        <v>4.600000000000001</v>
      </c>
      <c r="B235" s="131">
        <f t="shared" si="17"/>
        <v>0.1453719999999994</v>
      </c>
      <c r="C235" s="19"/>
      <c r="D235" s="19"/>
      <c r="E235" s="20"/>
    </row>
    <row r="236" spans="1:5" ht="12.95" customHeight="1">
      <c r="A236" s="130">
        <f t="shared" si="16"/>
        <v>4.800000000000002</v>
      </c>
      <c r="B236" s="131">
        <f t="shared" si="17"/>
        <v>0.07276799999999928</v>
      </c>
      <c r="C236" s="19"/>
      <c r="D236" s="19"/>
      <c r="E236" s="20"/>
    </row>
    <row r="237" spans="1:5" ht="12.95" customHeight="1">
      <c r="A237" s="130">
        <v>4.9</v>
      </c>
      <c r="B237" s="131">
        <f t="shared" si="17"/>
        <v>0.03546699999999969</v>
      </c>
      <c r="C237" s="19"/>
      <c r="D237" s="19"/>
      <c r="E237" s="20"/>
    </row>
    <row r="238" spans="1:5" ht="12.95" customHeight="1" thickBot="1">
      <c r="A238" s="132">
        <v>5</v>
      </c>
      <c r="B238" s="133">
        <v>0</v>
      </c>
      <c r="C238" s="24"/>
      <c r="D238" s="24"/>
      <c r="E238" s="25"/>
    </row>
    <row r="239" spans="1:5" ht="12.95" customHeight="1" thickTop="1">
      <c r="A239"/>
      <c r="B239"/>
      <c r="C239"/>
      <c r="D239"/>
      <c r="E239"/>
    </row>
    <row r="240" ht="12.95" customHeight="1" thickBot="1"/>
    <row r="241" spans="1:5" ht="30" customHeight="1" thickTop="1">
      <c r="A241" s="1" t="s">
        <v>7</v>
      </c>
      <c r="B241" s="2">
        <v>88</v>
      </c>
      <c r="C241" s="3" t="s">
        <v>5</v>
      </c>
      <c r="D241" s="4" t="s">
        <v>38</v>
      </c>
      <c r="E241" s="5" t="s">
        <v>28</v>
      </c>
    </row>
    <row r="242" spans="1:5" ht="30" customHeight="1">
      <c r="A242" s="6" t="s">
        <v>2</v>
      </c>
      <c r="B242" s="7" t="s">
        <v>76</v>
      </c>
      <c r="C242" s="8"/>
      <c r="D242" s="53" t="s">
        <v>39</v>
      </c>
      <c r="E242" s="9" t="s">
        <v>29</v>
      </c>
    </row>
    <row r="243" spans="1:5" ht="30" customHeight="1">
      <c r="A243" s="6" t="s">
        <v>10</v>
      </c>
      <c r="B243" s="7"/>
      <c r="C243" s="8"/>
      <c r="D243" s="53"/>
      <c r="E243" s="97"/>
    </row>
    <row r="244" spans="1:5" ht="30" customHeight="1" thickBot="1">
      <c r="A244" s="6" t="s">
        <v>3</v>
      </c>
      <c r="B244" s="7"/>
      <c r="C244" s="83"/>
      <c r="D244" s="56"/>
      <c r="E244" s="57"/>
    </row>
    <row r="245" spans="1:5" ht="30" customHeight="1">
      <c r="A245" s="6" t="s">
        <v>4</v>
      </c>
      <c r="B245" s="7" t="s">
        <v>75</v>
      </c>
      <c r="C245" s="10" t="s">
        <v>6</v>
      </c>
      <c r="D245" s="11">
        <v>0.7</v>
      </c>
      <c r="E245" s="58"/>
    </row>
    <row r="246" spans="1:5" ht="30" customHeight="1" thickBot="1">
      <c r="A246" s="12" t="s">
        <v>11</v>
      </c>
      <c r="B246" s="84" t="s">
        <v>272</v>
      </c>
      <c r="C246" s="13" t="s">
        <v>0</v>
      </c>
      <c r="D246" s="14">
        <f>IF(D245&lt;0.2,"valor del indicador fuera de rango",IF(D245&lt;=1,(-1.56*(D245^2)+(3.127*D245)-0.563),IF(D245&lt;=5,(-0.0333*(D245^2))-0.05*D245+1.08,"valor del indicador fuera rango")))</f>
        <v>0.8614999999999999</v>
      </c>
      <c r="E246" s="59"/>
    </row>
    <row r="247" spans="1:5" ht="30" customHeight="1">
      <c r="A247" s="15" t="s">
        <v>9</v>
      </c>
      <c r="B247" s="16" t="s">
        <v>0</v>
      </c>
      <c r="C247" s="192" t="s">
        <v>8</v>
      </c>
      <c r="D247" s="193"/>
      <c r="E247" s="194"/>
    </row>
    <row r="248" spans="1:5" ht="12.95" customHeight="1">
      <c r="A248" s="17">
        <v>0.2</v>
      </c>
      <c r="B248" s="18">
        <f aca="true" t="shared" si="18" ref="B248:B257">(-1.56*A248^2)+(3.127*A248)-0.563</f>
        <v>0</v>
      </c>
      <c r="C248" s="19"/>
      <c r="D248" s="19"/>
      <c r="E248" s="20"/>
    </row>
    <row r="249" spans="1:5" ht="12.95" customHeight="1">
      <c r="A249" s="21">
        <f>+A248+0.1</f>
        <v>0.30000000000000004</v>
      </c>
      <c r="B249" s="18">
        <f t="shared" si="18"/>
        <v>0.23470000000000002</v>
      </c>
      <c r="C249" s="85"/>
      <c r="D249" s="19"/>
      <c r="E249" s="20"/>
    </row>
    <row r="250" spans="1:5" ht="12.95" customHeight="1">
      <c r="A250" s="21">
        <f aca="true" t="shared" si="19" ref="A250:A255">+A249+0.1</f>
        <v>0.4</v>
      </c>
      <c r="B250" s="18">
        <f t="shared" si="18"/>
        <v>0.4381999999999999</v>
      </c>
      <c r="C250" s="85"/>
      <c r="D250" s="19"/>
      <c r="E250" s="20"/>
    </row>
    <row r="251" spans="1:5" ht="12.95" customHeight="1">
      <c r="A251" s="21">
        <f t="shared" si="19"/>
        <v>0.5</v>
      </c>
      <c r="B251" s="18">
        <f t="shared" si="18"/>
        <v>0.6104999999999998</v>
      </c>
      <c r="C251" s="85"/>
      <c r="D251" s="19"/>
      <c r="E251" s="20"/>
    </row>
    <row r="252" spans="1:5" ht="12.95" customHeight="1">
      <c r="A252" s="21">
        <f t="shared" si="19"/>
        <v>0.6</v>
      </c>
      <c r="B252" s="18">
        <f t="shared" si="18"/>
        <v>0.7516</v>
      </c>
      <c r="C252" s="85"/>
      <c r="D252" s="19"/>
      <c r="E252" s="20"/>
    </row>
    <row r="253" spans="1:5" ht="12.95" customHeight="1">
      <c r="A253" s="21">
        <f t="shared" si="19"/>
        <v>0.7</v>
      </c>
      <c r="B253" s="18">
        <f t="shared" si="18"/>
        <v>0.8614999999999999</v>
      </c>
      <c r="C253" s="85"/>
      <c r="D253" s="19"/>
      <c r="E253" s="20"/>
    </row>
    <row r="254" spans="1:5" ht="12.95" customHeight="1">
      <c r="A254" s="21">
        <f t="shared" si="19"/>
        <v>0.7999999999999999</v>
      </c>
      <c r="B254" s="18">
        <f t="shared" si="18"/>
        <v>0.9402000000000001</v>
      </c>
      <c r="C254" s="85"/>
      <c r="D254" s="19"/>
      <c r="E254" s="20"/>
    </row>
    <row r="255" spans="1:5" ht="12.95" customHeight="1">
      <c r="A255" s="21">
        <f t="shared" si="19"/>
        <v>0.8999999999999999</v>
      </c>
      <c r="B255" s="18">
        <f t="shared" si="18"/>
        <v>0.9876999999999996</v>
      </c>
      <c r="C255" s="85"/>
      <c r="D255" s="19"/>
      <c r="E255" s="20"/>
    </row>
    <row r="256" spans="1:5" ht="12.95" customHeight="1">
      <c r="A256" s="21">
        <v>0.95</v>
      </c>
      <c r="B256" s="18">
        <f t="shared" si="18"/>
        <v>0.9997499999999997</v>
      </c>
      <c r="C256" s="85"/>
      <c r="D256" s="19"/>
      <c r="E256" s="20"/>
    </row>
    <row r="257" spans="1:5" ht="12.95" customHeight="1">
      <c r="A257" s="21">
        <v>1</v>
      </c>
      <c r="B257" s="18">
        <f t="shared" si="18"/>
        <v>1.0039999999999998</v>
      </c>
      <c r="C257" s="85"/>
      <c r="D257" s="19"/>
      <c r="E257" s="20"/>
    </row>
    <row r="258" spans="1:5" ht="12.95" customHeight="1">
      <c r="A258" s="89">
        <v>1</v>
      </c>
      <c r="B258" s="54">
        <f aca="true" t="shared" si="20" ref="B258:B276">((-0.0333*(A258^2))-(0.05*A258)+1.08)</f>
        <v>0.9967</v>
      </c>
      <c r="C258" s="85"/>
      <c r="D258" s="19"/>
      <c r="E258" s="20"/>
    </row>
    <row r="259" spans="1:5" ht="12.95" customHeight="1">
      <c r="A259" s="89">
        <f aca="true" t="shared" si="21" ref="A259:A276">A258+0.2</f>
        <v>1.2</v>
      </c>
      <c r="B259" s="54">
        <f t="shared" si="20"/>
        <v>0.972048</v>
      </c>
      <c r="C259" s="85"/>
      <c r="D259" s="19"/>
      <c r="E259" s="20"/>
    </row>
    <row r="260" spans="1:5" ht="12.95" customHeight="1">
      <c r="A260" s="89">
        <f t="shared" si="21"/>
        <v>1.4</v>
      </c>
      <c r="B260" s="54">
        <f t="shared" si="20"/>
        <v>0.9447320000000001</v>
      </c>
      <c r="C260" s="85"/>
      <c r="D260" s="19"/>
      <c r="E260" s="20"/>
    </row>
    <row r="261" spans="1:5" ht="12.95" customHeight="1">
      <c r="A261" s="89">
        <f t="shared" si="21"/>
        <v>1.5999999999999999</v>
      </c>
      <c r="B261" s="54">
        <f t="shared" si="20"/>
        <v>0.914752</v>
      </c>
      <c r="C261" s="85"/>
      <c r="D261" s="19"/>
      <c r="E261" s="20"/>
    </row>
    <row r="262" spans="1:5" ht="12.95" customHeight="1">
      <c r="A262" s="89">
        <f t="shared" si="21"/>
        <v>1.7999999999999998</v>
      </c>
      <c r="B262" s="54">
        <f t="shared" si="20"/>
        <v>0.8821080000000001</v>
      </c>
      <c r="C262" s="85"/>
      <c r="D262" s="19"/>
      <c r="E262" s="20"/>
    </row>
    <row r="263" spans="1:5" ht="12.95" customHeight="1">
      <c r="A263" s="89">
        <f t="shared" si="21"/>
        <v>1.9999999999999998</v>
      </c>
      <c r="B263" s="54">
        <f t="shared" si="20"/>
        <v>0.8468000000000001</v>
      </c>
      <c r="C263" s="85"/>
      <c r="D263" s="19"/>
      <c r="E263" s="20"/>
    </row>
    <row r="264" spans="1:5" ht="12.95" customHeight="1">
      <c r="A264" s="89">
        <f t="shared" si="21"/>
        <v>2.1999999999999997</v>
      </c>
      <c r="B264" s="54">
        <f t="shared" si="20"/>
        <v>0.8088280000000001</v>
      </c>
      <c r="C264" s="85"/>
      <c r="D264" s="19"/>
      <c r="E264" s="20"/>
    </row>
    <row r="265" spans="1:5" ht="12.95" customHeight="1">
      <c r="A265" s="89">
        <f t="shared" si="21"/>
        <v>2.4</v>
      </c>
      <c r="B265" s="54">
        <f t="shared" si="20"/>
        <v>0.7681920000000001</v>
      </c>
      <c r="C265" s="85"/>
      <c r="D265" s="19"/>
      <c r="E265" s="20"/>
    </row>
    <row r="266" spans="1:5" ht="12.95" customHeight="1">
      <c r="A266" s="89">
        <f t="shared" si="21"/>
        <v>2.6</v>
      </c>
      <c r="B266" s="54">
        <f t="shared" si="20"/>
        <v>0.7248920000000001</v>
      </c>
      <c r="C266" s="85"/>
      <c r="D266" s="19"/>
      <c r="E266" s="20"/>
    </row>
    <row r="267" spans="1:5" ht="12.95" customHeight="1">
      <c r="A267" s="89">
        <f t="shared" si="21"/>
        <v>2.8000000000000003</v>
      </c>
      <c r="B267" s="54">
        <f t="shared" si="20"/>
        <v>0.678928</v>
      </c>
      <c r="C267" s="85"/>
      <c r="D267" s="19"/>
      <c r="E267" s="20"/>
    </row>
    <row r="268" spans="1:5" ht="12.95" customHeight="1">
      <c r="A268" s="89">
        <f t="shared" si="21"/>
        <v>3.0000000000000004</v>
      </c>
      <c r="B268" s="54">
        <f t="shared" si="20"/>
        <v>0.6302999999999999</v>
      </c>
      <c r="C268" s="85"/>
      <c r="D268" s="19"/>
      <c r="E268" s="20"/>
    </row>
    <row r="269" spans="1:5" ht="12.95" customHeight="1">
      <c r="A269" s="89">
        <f t="shared" si="21"/>
        <v>3.2000000000000006</v>
      </c>
      <c r="B269" s="54">
        <f t="shared" si="20"/>
        <v>0.5790079999999999</v>
      </c>
      <c r="C269" s="85"/>
      <c r="D269" s="19"/>
      <c r="E269" s="20"/>
    </row>
    <row r="270" spans="1:5" ht="12.95" customHeight="1">
      <c r="A270" s="89">
        <f t="shared" si="21"/>
        <v>3.400000000000001</v>
      </c>
      <c r="B270" s="54">
        <f t="shared" si="20"/>
        <v>0.5250519999999999</v>
      </c>
      <c r="C270" s="85"/>
      <c r="D270" s="19"/>
      <c r="E270" s="20"/>
    </row>
    <row r="271" spans="1:5" ht="12.95" customHeight="1">
      <c r="A271" s="89">
        <f t="shared" si="21"/>
        <v>3.600000000000001</v>
      </c>
      <c r="B271" s="54">
        <f t="shared" si="20"/>
        <v>0.46843199999999974</v>
      </c>
      <c r="C271" s="85"/>
      <c r="D271" s="19"/>
      <c r="E271" s="20"/>
    </row>
    <row r="272" spans="1:5" ht="12.95" customHeight="1">
      <c r="A272" s="89">
        <f t="shared" si="21"/>
        <v>3.800000000000001</v>
      </c>
      <c r="B272" s="54">
        <f t="shared" si="20"/>
        <v>0.4091479999999996</v>
      </c>
      <c r="C272" s="85"/>
      <c r="D272" s="85"/>
      <c r="E272" s="86"/>
    </row>
    <row r="273" spans="1:5" ht="12.95" customHeight="1">
      <c r="A273" s="89">
        <f t="shared" si="21"/>
        <v>4.000000000000001</v>
      </c>
      <c r="B273" s="54">
        <f t="shared" si="20"/>
        <v>0.34719999999999973</v>
      </c>
      <c r="C273" s="85"/>
      <c r="D273" s="85"/>
      <c r="E273" s="86"/>
    </row>
    <row r="274" spans="1:5" ht="12.95" customHeight="1">
      <c r="A274" s="89">
        <f t="shared" si="21"/>
        <v>4.200000000000001</v>
      </c>
      <c r="B274" s="54">
        <f t="shared" si="20"/>
        <v>0.28258799999999973</v>
      </c>
      <c r="C274" s="19"/>
      <c r="D274" s="19"/>
      <c r="E274" s="20"/>
    </row>
    <row r="275" spans="1:5" ht="12.95" customHeight="1">
      <c r="A275" s="89">
        <f t="shared" si="21"/>
        <v>4.400000000000001</v>
      </c>
      <c r="B275" s="54">
        <f t="shared" si="20"/>
        <v>0.21531199999999961</v>
      </c>
      <c r="C275" s="19"/>
      <c r="D275" s="19"/>
      <c r="E275" s="20"/>
    </row>
    <row r="276" spans="1:5" ht="12.95" customHeight="1">
      <c r="A276" s="89">
        <f t="shared" si="21"/>
        <v>4.600000000000001</v>
      </c>
      <c r="B276" s="54">
        <f t="shared" si="20"/>
        <v>0.1453719999999994</v>
      </c>
      <c r="C276" s="19"/>
      <c r="D276" s="19"/>
      <c r="E276" s="20"/>
    </row>
    <row r="277" spans="1:5" ht="12.95" customHeight="1" thickBot="1">
      <c r="A277" s="90">
        <v>5</v>
      </c>
      <c r="B277" s="134">
        <v>0</v>
      </c>
      <c r="C277" s="24"/>
      <c r="D277" s="24"/>
      <c r="E277" s="25"/>
    </row>
    <row r="278" spans="1:5" ht="12.95" customHeight="1" thickTop="1">
      <c r="A278"/>
      <c r="B278"/>
      <c r="C278"/>
      <c r="D278"/>
      <c r="E278"/>
    </row>
    <row r="279" ht="12.95" customHeight="1" thickBot="1"/>
    <row r="280" spans="1:5" ht="30" customHeight="1" thickTop="1">
      <c r="A280" s="1" t="s">
        <v>7</v>
      </c>
      <c r="B280" s="2">
        <v>89</v>
      </c>
      <c r="C280" s="3" t="s">
        <v>5</v>
      </c>
      <c r="D280" s="4" t="s">
        <v>41</v>
      </c>
      <c r="E280" s="5" t="s">
        <v>44</v>
      </c>
    </row>
    <row r="281" spans="1:5" ht="30" customHeight="1">
      <c r="A281" s="6" t="s">
        <v>2</v>
      </c>
      <c r="B281" s="7" t="s">
        <v>40</v>
      </c>
      <c r="C281" s="8"/>
      <c r="D281" s="53" t="s">
        <v>42</v>
      </c>
      <c r="E281" s="97" t="s">
        <v>45</v>
      </c>
    </row>
    <row r="282" spans="1:5" ht="30" customHeight="1">
      <c r="A282" s="6" t="s">
        <v>10</v>
      </c>
      <c r="B282" s="7"/>
      <c r="C282" s="8"/>
      <c r="D282" s="135" t="s">
        <v>43</v>
      </c>
      <c r="E282" s="129" t="s">
        <v>46</v>
      </c>
    </row>
    <row r="283" spans="1:5" ht="30" customHeight="1" thickBot="1">
      <c r="A283" s="6" t="s">
        <v>3</v>
      </c>
      <c r="B283" s="7"/>
      <c r="C283" s="83"/>
      <c r="D283" s="56"/>
      <c r="E283" s="57"/>
    </row>
    <row r="284" spans="1:5" ht="30" customHeight="1">
      <c r="A284" s="6" t="s">
        <v>4</v>
      </c>
      <c r="B284" s="7" t="s">
        <v>72</v>
      </c>
      <c r="C284" s="10" t="s">
        <v>6</v>
      </c>
      <c r="D284" s="11">
        <v>190</v>
      </c>
      <c r="E284" s="58"/>
    </row>
    <row r="285" spans="1:5" ht="30" customHeight="1" thickBot="1">
      <c r="A285" s="12" t="s">
        <v>11</v>
      </c>
      <c r="B285" s="37" t="s">
        <v>66</v>
      </c>
      <c r="C285" s="13" t="s">
        <v>0</v>
      </c>
      <c r="D285" s="14">
        <f>IF(D284&lt;0,"valor del indicador fuera de rango",IF(D284&lt;=20,(-0.0151*D284+1),IF(D284&lt;=100,(-0.005*D284+0.8),IF(D284&lt;=200,(-0.003*D284+0.6),"valor del indicador fuera rango"))))</f>
        <v>0.029999999999999916</v>
      </c>
      <c r="E285" s="59"/>
    </row>
    <row r="286" spans="1:5" ht="30" customHeight="1">
      <c r="A286" s="15" t="s">
        <v>9</v>
      </c>
      <c r="B286" s="16" t="s">
        <v>0</v>
      </c>
      <c r="C286" s="192" t="s">
        <v>8</v>
      </c>
      <c r="D286" s="193"/>
      <c r="E286" s="194"/>
    </row>
    <row r="287" spans="1:5" ht="12.95" customHeight="1">
      <c r="A287" s="17">
        <v>0</v>
      </c>
      <c r="B287" s="18">
        <f>-0.0151*A287+1</f>
        <v>1</v>
      </c>
      <c r="C287" s="19"/>
      <c r="D287" s="19"/>
      <c r="E287" s="20"/>
    </row>
    <row r="288" spans="1:5" ht="12.95" customHeight="1">
      <c r="A288" s="21">
        <f>+A287+10</f>
        <v>10</v>
      </c>
      <c r="B288" s="18">
        <f>-0.0151*A288+1</f>
        <v>0.849</v>
      </c>
      <c r="C288" s="85"/>
      <c r="D288" s="19"/>
      <c r="E288" s="20"/>
    </row>
    <row r="289" spans="1:5" ht="12.95" customHeight="1">
      <c r="A289" s="21">
        <f>+A288+5</f>
        <v>15</v>
      </c>
      <c r="B289" s="18">
        <f>-0.0151*A289+1</f>
        <v>0.7735</v>
      </c>
      <c r="C289" s="85"/>
      <c r="D289" s="19"/>
      <c r="E289" s="20"/>
    </row>
    <row r="290" spans="1:5" ht="12.95" customHeight="1">
      <c r="A290" s="21">
        <f>A288+10</f>
        <v>20</v>
      </c>
      <c r="B290" s="18">
        <f>-0.0151*A290+1</f>
        <v>0.698</v>
      </c>
      <c r="C290" s="85"/>
      <c r="D290" s="19"/>
      <c r="E290" s="20"/>
    </row>
    <row r="291" spans="1:5" ht="12.95" customHeight="1">
      <c r="A291" s="60">
        <f aca="true" t="shared" si="22" ref="A291:A299">A290+10</f>
        <v>30</v>
      </c>
      <c r="B291" s="54">
        <f>-0.005*A291+0.8</f>
        <v>0.65</v>
      </c>
      <c r="C291" s="85"/>
      <c r="D291" s="19"/>
      <c r="E291" s="20"/>
    </row>
    <row r="292" spans="1:5" ht="12.95" customHeight="1">
      <c r="A292" s="60">
        <f t="shared" si="22"/>
        <v>40</v>
      </c>
      <c r="B292" s="54">
        <f aca="true" t="shared" si="23" ref="B292:B298">-0.005*A292+0.8</f>
        <v>0.6000000000000001</v>
      </c>
      <c r="C292" s="85"/>
      <c r="D292" s="19"/>
      <c r="E292" s="20"/>
    </row>
    <row r="293" spans="1:5" ht="12.95" customHeight="1">
      <c r="A293" s="60">
        <f t="shared" si="22"/>
        <v>50</v>
      </c>
      <c r="B293" s="54">
        <f t="shared" si="23"/>
        <v>0.55</v>
      </c>
      <c r="C293" s="85"/>
      <c r="D293" s="19"/>
      <c r="E293" s="20"/>
    </row>
    <row r="294" spans="1:5" ht="12.95" customHeight="1">
      <c r="A294" s="60">
        <f t="shared" si="22"/>
        <v>60</v>
      </c>
      <c r="B294" s="54">
        <f t="shared" si="23"/>
        <v>0.5</v>
      </c>
      <c r="C294" s="85"/>
      <c r="D294" s="19"/>
      <c r="E294" s="20"/>
    </row>
    <row r="295" spans="1:5" ht="12.95" customHeight="1">
      <c r="A295" s="60">
        <f t="shared" si="22"/>
        <v>70</v>
      </c>
      <c r="B295" s="54">
        <f t="shared" si="23"/>
        <v>0.45</v>
      </c>
      <c r="C295" s="85"/>
      <c r="D295" s="19"/>
      <c r="E295" s="20"/>
    </row>
    <row r="296" spans="1:5" ht="12.95" customHeight="1">
      <c r="A296" s="60">
        <f t="shared" si="22"/>
        <v>80</v>
      </c>
      <c r="B296" s="54">
        <f t="shared" si="23"/>
        <v>0.4</v>
      </c>
      <c r="C296" s="85"/>
      <c r="D296" s="19"/>
      <c r="E296" s="20"/>
    </row>
    <row r="297" spans="1:5" ht="12.95" customHeight="1">
      <c r="A297" s="60">
        <f t="shared" si="22"/>
        <v>90</v>
      </c>
      <c r="B297" s="54">
        <f t="shared" si="23"/>
        <v>0.35000000000000003</v>
      </c>
      <c r="C297" s="85"/>
      <c r="D297" s="19"/>
      <c r="E297" s="20"/>
    </row>
    <row r="298" spans="1:5" ht="12.95" customHeight="1">
      <c r="A298" s="60">
        <f t="shared" si="22"/>
        <v>100</v>
      </c>
      <c r="B298" s="54">
        <f t="shared" si="23"/>
        <v>0.30000000000000004</v>
      </c>
      <c r="C298" s="85"/>
      <c r="D298" s="19"/>
      <c r="E298" s="20"/>
    </row>
    <row r="299" spans="1:5" ht="12.95" customHeight="1">
      <c r="A299" s="130">
        <f t="shared" si="22"/>
        <v>110</v>
      </c>
      <c r="B299" s="131">
        <f>-0.003*A299+0.6</f>
        <v>0.26999999999999996</v>
      </c>
      <c r="C299" s="85"/>
      <c r="D299" s="19"/>
      <c r="E299" s="20"/>
    </row>
    <row r="300" spans="1:5" ht="12.95" customHeight="1">
      <c r="A300" s="130">
        <v>120</v>
      </c>
      <c r="B300" s="131">
        <f aca="true" t="shared" si="24" ref="B300:B313">-0.003*A300+0.6</f>
        <v>0.24</v>
      </c>
      <c r="C300" s="85"/>
      <c r="D300" s="19"/>
      <c r="E300" s="20"/>
    </row>
    <row r="301" spans="1:5" ht="12.95" customHeight="1">
      <c r="A301" s="130">
        <v>130</v>
      </c>
      <c r="B301" s="131">
        <f t="shared" si="24"/>
        <v>0.20999999999999996</v>
      </c>
      <c r="C301" s="85"/>
      <c r="D301" s="19"/>
      <c r="E301" s="20"/>
    </row>
    <row r="302" spans="1:5" ht="12.95" customHeight="1">
      <c r="A302" s="130">
        <v>140</v>
      </c>
      <c r="B302" s="131">
        <f t="shared" si="24"/>
        <v>0.18</v>
      </c>
      <c r="C302" s="85"/>
      <c r="D302" s="19"/>
      <c r="E302" s="20"/>
    </row>
    <row r="303" spans="1:5" ht="12.95" customHeight="1">
      <c r="A303" s="130">
        <f aca="true" t="shared" si="25" ref="A303:A312">+A302+5</f>
        <v>145</v>
      </c>
      <c r="B303" s="131">
        <f t="shared" si="24"/>
        <v>0.16499999999999998</v>
      </c>
      <c r="C303" s="85"/>
      <c r="D303" s="19"/>
      <c r="E303" s="20"/>
    </row>
    <row r="304" spans="1:5" ht="12.95" customHeight="1">
      <c r="A304" s="130">
        <f t="shared" si="25"/>
        <v>150</v>
      </c>
      <c r="B304" s="131">
        <f t="shared" si="24"/>
        <v>0.14999999999999997</v>
      </c>
      <c r="C304" s="85"/>
      <c r="D304" s="19"/>
      <c r="E304" s="20"/>
    </row>
    <row r="305" spans="1:5" ht="12.95" customHeight="1">
      <c r="A305" s="130">
        <f t="shared" si="25"/>
        <v>155</v>
      </c>
      <c r="B305" s="131">
        <f t="shared" si="24"/>
        <v>0.13499999999999995</v>
      </c>
      <c r="C305" s="85"/>
      <c r="D305" s="19"/>
      <c r="E305" s="20"/>
    </row>
    <row r="306" spans="1:5" ht="12.95" customHeight="1">
      <c r="A306" s="130">
        <f t="shared" si="25"/>
        <v>160</v>
      </c>
      <c r="B306" s="131">
        <f t="shared" si="24"/>
        <v>0.12</v>
      </c>
      <c r="C306" s="85"/>
      <c r="D306" s="19"/>
      <c r="E306" s="20"/>
    </row>
    <row r="307" spans="1:5" ht="12.95" customHeight="1">
      <c r="A307" s="130">
        <f t="shared" si="25"/>
        <v>165</v>
      </c>
      <c r="B307" s="131">
        <f t="shared" si="24"/>
        <v>0.10499999999999998</v>
      </c>
      <c r="C307" s="85"/>
      <c r="D307" s="19"/>
      <c r="E307" s="20"/>
    </row>
    <row r="308" spans="1:5" ht="12.95" customHeight="1">
      <c r="A308" s="130">
        <f t="shared" si="25"/>
        <v>170</v>
      </c>
      <c r="B308" s="131">
        <f t="shared" si="24"/>
        <v>0.08999999999999997</v>
      </c>
      <c r="C308" s="85"/>
      <c r="D308" s="19"/>
      <c r="E308" s="20"/>
    </row>
    <row r="309" spans="1:5" ht="12.95" customHeight="1">
      <c r="A309" s="130">
        <f t="shared" si="25"/>
        <v>175</v>
      </c>
      <c r="B309" s="131">
        <f t="shared" si="24"/>
        <v>0.07499999999999996</v>
      </c>
      <c r="C309" s="85"/>
      <c r="D309" s="19"/>
      <c r="E309" s="20"/>
    </row>
    <row r="310" spans="1:5" ht="12.95" customHeight="1">
      <c r="A310" s="130">
        <f t="shared" si="25"/>
        <v>180</v>
      </c>
      <c r="B310" s="131">
        <f t="shared" si="24"/>
        <v>0.05999999999999994</v>
      </c>
      <c r="C310" s="85"/>
      <c r="D310" s="19"/>
      <c r="E310" s="20"/>
    </row>
    <row r="311" spans="1:5" ht="12.95" customHeight="1">
      <c r="A311" s="130">
        <f t="shared" si="25"/>
        <v>185</v>
      </c>
      <c r="B311" s="131">
        <f t="shared" si="24"/>
        <v>0.04499999999999993</v>
      </c>
      <c r="C311" s="85"/>
      <c r="D311" s="19"/>
      <c r="E311" s="20"/>
    </row>
    <row r="312" spans="1:9" ht="12.95" customHeight="1">
      <c r="A312" s="130">
        <f t="shared" si="25"/>
        <v>190</v>
      </c>
      <c r="B312" s="131">
        <f t="shared" si="24"/>
        <v>0.029999999999999916</v>
      </c>
      <c r="C312" s="85"/>
      <c r="D312" s="19"/>
      <c r="E312" s="20"/>
      <c r="G312" s="147"/>
      <c r="H312" s="147"/>
      <c r="I312"/>
    </row>
    <row r="313" spans="1:9" ht="12.95" customHeight="1" thickBot="1">
      <c r="A313" s="132">
        <v>200</v>
      </c>
      <c r="B313" s="133">
        <f t="shared" si="24"/>
        <v>0</v>
      </c>
      <c r="C313" s="92"/>
      <c r="D313" s="24"/>
      <c r="E313" s="25"/>
      <c r="G313" s="147"/>
      <c r="H313" s="147"/>
      <c r="I313"/>
    </row>
    <row r="314" ht="12.95" customHeight="1" thickTop="1"/>
    <row r="315" ht="12.75" customHeight="1" thickBot="1"/>
    <row r="316" spans="1:5" ht="30" customHeight="1" thickTop="1">
      <c r="A316" s="1" t="s">
        <v>7</v>
      </c>
      <c r="B316" s="2">
        <v>90</v>
      </c>
      <c r="C316" s="3" t="s">
        <v>5</v>
      </c>
      <c r="D316" s="4" t="s">
        <v>53</v>
      </c>
      <c r="E316" s="5" t="s">
        <v>52</v>
      </c>
    </row>
    <row r="317" spans="1:5" ht="30" customHeight="1">
      <c r="A317" s="6" t="s">
        <v>2</v>
      </c>
      <c r="B317" s="7" t="s">
        <v>51</v>
      </c>
      <c r="C317" s="8"/>
      <c r="D317" s="53" t="s">
        <v>54</v>
      </c>
      <c r="E317" s="97" t="s">
        <v>55</v>
      </c>
    </row>
    <row r="318" spans="1:5" ht="30" customHeight="1">
      <c r="A318" s="6" t="s">
        <v>10</v>
      </c>
      <c r="B318" s="7"/>
      <c r="C318" s="8"/>
      <c r="D318" s="135" t="s">
        <v>56</v>
      </c>
      <c r="E318" s="129" t="s">
        <v>57</v>
      </c>
    </row>
    <row r="319" spans="1:5" ht="30" customHeight="1" thickBot="1">
      <c r="A319" s="6" t="s">
        <v>3</v>
      </c>
      <c r="B319" s="7"/>
      <c r="C319" s="83"/>
      <c r="D319" s="56"/>
      <c r="E319" s="57"/>
    </row>
    <row r="320" spans="1:5" ht="30" customHeight="1">
      <c r="A320" s="6" t="s">
        <v>4</v>
      </c>
      <c r="B320" s="136" t="s">
        <v>77</v>
      </c>
      <c r="C320" s="10" t="s">
        <v>6</v>
      </c>
      <c r="D320" s="11">
        <v>8</v>
      </c>
      <c r="E320" s="58"/>
    </row>
    <row r="321" spans="1:5" ht="30" customHeight="1" thickBot="1">
      <c r="A321" s="12" t="s">
        <v>11</v>
      </c>
      <c r="B321" s="37" t="s">
        <v>66</v>
      </c>
      <c r="C321" s="13" t="s">
        <v>0</v>
      </c>
      <c r="D321" s="14">
        <f>IF(D320&lt;4,"valor del indicador fuera de rango",IF(D320&lt;=7,0.0889*(D320)^2-0.644*(D320)+1.154,IF(D320&lt;=8.5,-0.2*(D320)+2.4,IF(D320&lt;=10,-0.467*(D320)+4.67))))</f>
        <v>0.7999999999999998</v>
      </c>
      <c r="E321" s="59"/>
    </row>
    <row r="322" spans="1:5" ht="30" customHeight="1">
      <c r="A322" s="15" t="s">
        <v>9</v>
      </c>
      <c r="B322" s="16" t="s">
        <v>0</v>
      </c>
      <c r="C322" s="192" t="s">
        <v>8</v>
      </c>
      <c r="D322" s="193"/>
      <c r="E322" s="194"/>
    </row>
    <row r="323" spans="1:5" ht="12.95" customHeight="1">
      <c r="A323" s="17">
        <v>4</v>
      </c>
      <c r="B323" s="18">
        <f aca="true" t="shared" si="26" ref="B323:B328">0.0889*A323^2-0.644*A323+1.154</f>
        <v>0.00039999999999995595</v>
      </c>
      <c r="C323" s="19"/>
      <c r="D323" s="19"/>
      <c r="E323" s="20"/>
    </row>
    <row r="324" spans="1:5" ht="12.95" customHeight="1">
      <c r="A324" s="21">
        <f aca="true" t="shared" si="27" ref="A324:A329">+A323+0.5</f>
        <v>4.5</v>
      </c>
      <c r="B324" s="18">
        <f t="shared" si="26"/>
        <v>0.05622499999999997</v>
      </c>
      <c r="C324" s="85"/>
      <c r="D324" s="19"/>
      <c r="E324" s="20"/>
    </row>
    <row r="325" spans="1:5" ht="12.95" customHeight="1">
      <c r="A325" s="21">
        <f t="shared" si="27"/>
        <v>5</v>
      </c>
      <c r="B325" s="18">
        <f t="shared" si="26"/>
        <v>0.15649999999999986</v>
      </c>
      <c r="C325" s="85"/>
      <c r="D325" s="19"/>
      <c r="E325" s="20"/>
    </row>
    <row r="326" spans="1:5" ht="12.95" customHeight="1">
      <c r="A326" s="21">
        <f t="shared" si="27"/>
        <v>5.5</v>
      </c>
      <c r="B326" s="18">
        <f t="shared" si="26"/>
        <v>0.3012250000000001</v>
      </c>
      <c r="C326" s="85"/>
      <c r="D326" s="19"/>
      <c r="E326" s="20"/>
    </row>
    <row r="327" spans="1:5" ht="12.95" customHeight="1">
      <c r="A327" s="21">
        <f t="shared" si="27"/>
        <v>6</v>
      </c>
      <c r="B327" s="18">
        <f t="shared" si="26"/>
        <v>0.49040000000000017</v>
      </c>
      <c r="C327" s="85"/>
      <c r="D327" s="19"/>
      <c r="E327" s="20"/>
    </row>
    <row r="328" spans="1:5" ht="12.95" customHeight="1">
      <c r="A328" s="21">
        <f t="shared" si="27"/>
        <v>6.5</v>
      </c>
      <c r="B328" s="18">
        <f t="shared" si="26"/>
        <v>0.7240250000000001</v>
      </c>
      <c r="C328" s="85"/>
      <c r="D328" s="19"/>
      <c r="E328" s="20"/>
    </row>
    <row r="329" spans="1:5" ht="12.95" customHeight="1">
      <c r="A329" s="21">
        <f t="shared" si="27"/>
        <v>7</v>
      </c>
      <c r="B329" s="18">
        <v>1</v>
      </c>
      <c r="C329" s="85"/>
      <c r="D329" s="19"/>
      <c r="E329" s="20"/>
    </row>
    <row r="330" spans="1:5" ht="12.95" customHeight="1">
      <c r="A330" s="60">
        <v>7</v>
      </c>
      <c r="B330" s="54">
        <f aca="true" t="shared" si="28" ref="B330:B336">-0.2*A330+2.4</f>
        <v>0.9999999999999998</v>
      </c>
      <c r="C330" s="85"/>
      <c r="D330" s="19"/>
      <c r="E330" s="20"/>
    </row>
    <row r="331" spans="1:5" ht="12.95" customHeight="1">
      <c r="A331" s="60">
        <v>7.3</v>
      </c>
      <c r="B331" s="54">
        <f t="shared" si="28"/>
        <v>0.94</v>
      </c>
      <c r="C331" s="85"/>
      <c r="D331" s="19"/>
      <c r="E331" s="20"/>
    </row>
    <row r="332" spans="1:5" ht="12.95" customHeight="1">
      <c r="A332" s="60">
        <v>7.5</v>
      </c>
      <c r="B332" s="54">
        <f t="shared" si="28"/>
        <v>0.8999999999999999</v>
      </c>
      <c r="C332" s="85"/>
      <c r="D332" s="19"/>
      <c r="E332" s="20"/>
    </row>
    <row r="333" spans="1:5" ht="12.95" customHeight="1">
      <c r="A333" s="60">
        <v>7.8</v>
      </c>
      <c r="B333" s="54">
        <f t="shared" si="28"/>
        <v>0.8399999999999999</v>
      </c>
      <c r="C333" s="85"/>
      <c r="D333" s="19"/>
      <c r="E333" s="20"/>
    </row>
    <row r="334" spans="1:5" ht="12.95" customHeight="1">
      <c r="A334" s="60">
        <v>8</v>
      </c>
      <c r="B334" s="54">
        <f t="shared" si="28"/>
        <v>0.7999999999999998</v>
      </c>
      <c r="C334" s="85"/>
      <c r="D334" s="19"/>
      <c r="E334" s="20"/>
    </row>
    <row r="335" spans="1:5" ht="12.95" customHeight="1">
      <c r="A335" s="60">
        <v>8.2</v>
      </c>
      <c r="B335" s="54">
        <f t="shared" si="28"/>
        <v>0.76</v>
      </c>
      <c r="C335" s="85"/>
      <c r="D335" s="19"/>
      <c r="E335" s="20"/>
    </row>
    <row r="336" spans="1:5" ht="12.95" customHeight="1">
      <c r="A336" s="60">
        <v>8.5</v>
      </c>
      <c r="B336" s="54">
        <f t="shared" si="28"/>
        <v>0.6999999999999997</v>
      </c>
      <c r="C336" s="85"/>
      <c r="D336" s="19"/>
      <c r="E336" s="20"/>
    </row>
    <row r="337" spans="1:5" ht="12.95" customHeight="1">
      <c r="A337" s="130">
        <v>8.5</v>
      </c>
      <c r="B337" s="131">
        <f aca="true" t="shared" si="29" ref="B337:B343">-0.467*A337+4.67</f>
        <v>0.7004999999999999</v>
      </c>
      <c r="C337" s="85"/>
      <c r="D337" s="19"/>
      <c r="E337" s="20"/>
    </row>
    <row r="338" spans="1:5" ht="12.95" customHeight="1">
      <c r="A338" s="130">
        <v>8.7</v>
      </c>
      <c r="B338" s="131">
        <f t="shared" si="29"/>
        <v>0.6071</v>
      </c>
      <c r="C338" s="85"/>
      <c r="D338" s="19"/>
      <c r="E338" s="20"/>
    </row>
    <row r="339" spans="1:5" ht="12.95" customHeight="1">
      <c r="A339" s="130">
        <v>9</v>
      </c>
      <c r="B339" s="131">
        <f t="shared" si="29"/>
        <v>0.46699999999999964</v>
      </c>
      <c r="C339" s="85"/>
      <c r="D339" s="19"/>
      <c r="E339" s="20"/>
    </row>
    <row r="340" spans="1:5" ht="12.95" customHeight="1">
      <c r="A340" s="130">
        <v>9.3</v>
      </c>
      <c r="B340" s="131">
        <f t="shared" si="29"/>
        <v>0.3268999999999993</v>
      </c>
      <c r="C340" s="85"/>
      <c r="D340" s="19"/>
      <c r="E340" s="20"/>
    </row>
    <row r="341" spans="1:5" ht="12.95" customHeight="1">
      <c r="A341" s="130">
        <v>9.5</v>
      </c>
      <c r="B341" s="131">
        <f t="shared" si="29"/>
        <v>0.23349999999999937</v>
      </c>
      <c r="C341" s="85"/>
      <c r="D341" s="19"/>
      <c r="E341" s="20"/>
    </row>
    <row r="342" spans="1:5" ht="12.95" customHeight="1">
      <c r="A342" s="130">
        <v>9.7</v>
      </c>
      <c r="B342" s="131">
        <f t="shared" si="29"/>
        <v>0.14010000000000034</v>
      </c>
      <c r="C342" s="85"/>
      <c r="D342" s="19"/>
      <c r="E342" s="20"/>
    </row>
    <row r="343" spans="1:5" ht="12.95" customHeight="1" thickBot="1">
      <c r="A343" s="132">
        <v>10</v>
      </c>
      <c r="B343" s="133">
        <f t="shared" si="29"/>
        <v>0</v>
      </c>
      <c r="C343" s="92"/>
      <c r="D343" s="24"/>
      <c r="E343" s="25"/>
    </row>
    <row r="344" ht="12.95" customHeight="1" thickTop="1"/>
    <row r="345" ht="12.95" customHeight="1" thickBot="1"/>
    <row r="346" spans="1:5" ht="30" customHeight="1" thickTop="1">
      <c r="A346" s="1" t="s">
        <v>7</v>
      </c>
      <c r="B346" s="2">
        <v>91</v>
      </c>
      <c r="C346" s="3" t="s">
        <v>5</v>
      </c>
      <c r="D346" s="4" t="s">
        <v>80</v>
      </c>
      <c r="E346" s="5" t="s">
        <v>73</v>
      </c>
    </row>
    <row r="347" spans="1:5" ht="30" customHeight="1">
      <c r="A347" s="6" t="s">
        <v>2</v>
      </c>
      <c r="B347" s="7" t="s">
        <v>78</v>
      </c>
      <c r="C347" s="8"/>
      <c r="D347" s="53"/>
      <c r="E347" s="9"/>
    </row>
    <row r="348" spans="1:5" ht="30" customHeight="1">
      <c r="A348" s="6" t="s">
        <v>10</v>
      </c>
      <c r="B348" s="7"/>
      <c r="C348" s="8"/>
      <c r="D348" s="55"/>
      <c r="E348" s="9"/>
    </row>
    <row r="349" spans="1:5" ht="30" customHeight="1" thickBot="1">
      <c r="A349" s="6" t="s">
        <v>3</v>
      </c>
      <c r="B349" s="7" t="s">
        <v>81</v>
      </c>
      <c r="C349" s="83"/>
      <c r="D349" s="56"/>
      <c r="E349" s="57"/>
    </row>
    <row r="350" spans="1:5" ht="30" customHeight="1">
      <c r="A350" s="6" t="s">
        <v>4</v>
      </c>
      <c r="B350" s="136" t="s">
        <v>79</v>
      </c>
      <c r="C350" s="10" t="s">
        <v>6</v>
      </c>
      <c r="D350" s="11">
        <v>10</v>
      </c>
      <c r="E350" s="58"/>
    </row>
    <row r="351" spans="1:5" ht="30" customHeight="1" thickBot="1">
      <c r="A351" s="12" t="s">
        <v>11</v>
      </c>
      <c r="B351" s="37" t="s">
        <v>66</v>
      </c>
      <c r="C351" s="13" t="s">
        <v>0</v>
      </c>
      <c r="D351" s="14">
        <f>IF(D350&lt;0,"valor del indicador fuera de rango",IF(D350&lt;=25,((-0.04*D350)+1),"valor del indicador fuera de rango"))</f>
        <v>0.6</v>
      </c>
      <c r="E351" s="59"/>
    </row>
    <row r="352" spans="1:5" ht="30" customHeight="1">
      <c r="A352" s="15" t="s">
        <v>9</v>
      </c>
      <c r="B352" s="16" t="s">
        <v>0</v>
      </c>
      <c r="C352" s="192" t="s">
        <v>8</v>
      </c>
      <c r="D352" s="193"/>
      <c r="E352" s="194"/>
    </row>
    <row r="353" spans="1:5" ht="12.95" customHeight="1">
      <c r="A353" s="17">
        <v>0</v>
      </c>
      <c r="B353" s="18">
        <f>((-0.04)*A353)+1</f>
        <v>1</v>
      </c>
      <c r="C353" s="19"/>
      <c r="D353" s="19"/>
      <c r="E353" s="20"/>
    </row>
    <row r="354" spans="1:5" ht="12.95" customHeight="1">
      <c r="A354" s="21">
        <v>2</v>
      </c>
      <c r="B354" s="18">
        <f aca="true" t="shared" si="30" ref="B354:B373">((-0.04)*A354)+1</f>
        <v>0.92</v>
      </c>
      <c r="C354" s="85"/>
      <c r="D354" s="19"/>
      <c r="E354" s="20"/>
    </row>
    <row r="355" spans="1:5" ht="12.95" customHeight="1">
      <c r="A355" s="21">
        <v>4</v>
      </c>
      <c r="B355" s="18">
        <f t="shared" si="30"/>
        <v>0.84</v>
      </c>
      <c r="C355" s="85"/>
      <c r="D355" s="19"/>
      <c r="E355" s="20"/>
    </row>
    <row r="356" spans="1:5" ht="12.95" customHeight="1">
      <c r="A356" s="21">
        <v>6</v>
      </c>
      <c r="B356" s="18">
        <f t="shared" si="30"/>
        <v>0.76</v>
      </c>
      <c r="C356" s="85"/>
      <c r="D356" s="19"/>
      <c r="E356" s="20"/>
    </row>
    <row r="357" spans="1:5" ht="12.95" customHeight="1">
      <c r="A357" s="21">
        <v>8</v>
      </c>
      <c r="B357" s="18">
        <f t="shared" si="30"/>
        <v>0.6799999999999999</v>
      </c>
      <c r="C357" s="85"/>
      <c r="D357" s="19"/>
      <c r="E357" s="20"/>
    </row>
    <row r="358" spans="1:5" ht="12.95" customHeight="1">
      <c r="A358" s="21">
        <v>10</v>
      </c>
      <c r="B358" s="18">
        <f t="shared" si="30"/>
        <v>0.6</v>
      </c>
      <c r="C358" s="85"/>
      <c r="D358" s="19"/>
      <c r="E358" s="20"/>
    </row>
    <row r="359" spans="1:5" ht="12.95" customHeight="1">
      <c r="A359" s="21">
        <f aca="true" t="shared" si="31" ref="A359:A373">+A358+1</f>
        <v>11</v>
      </c>
      <c r="B359" s="18">
        <f t="shared" si="30"/>
        <v>0.56</v>
      </c>
      <c r="C359" s="85"/>
      <c r="D359" s="19"/>
      <c r="E359" s="20"/>
    </row>
    <row r="360" spans="1:5" ht="12.95" customHeight="1">
      <c r="A360" s="21">
        <f t="shared" si="31"/>
        <v>12</v>
      </c>
      <c r="B360" s="18">
        <f t="shared" si="30"/>
        <v>0.52</v>
      </c>
      <c r="C360" s="85"/>
      <c r="D360" s="19"/>
      <c r="E360" s="20"/>
    </row>
    <row r="361" spans="1:5" ht="12.95" customHeight="1">
      <c r="A361" s="21">
        <f t="shared" si="31"/>
        <v>13</v>
      </c>
      <c r="B361" s="18">
        <f t="shared" si="30"/>
        <v>0.48</v>
      </c>
      <c r="C361" s="85"/>
      <c r="D361" s="19"/>
      <c r="E361" s="20"/>
    </row>
    <row r="362" spans="1:5" ht="12.95" customHeight="1">
      <c r="A362" s="21">
        <f t="shared" si="31"/>
        <v>14</v>
      </c>
      <c r="B362" s="18">
        <f t="shared" si="30"/>
        <v>0.43999999999999995</v>
      </c>
      <c r="C362" s="85"/>
      <c r="D362" s="19"/>
      <c r="E362" s="20"/>
    </row>
    <row r="363" spans="1:5" ht="12.95" customHeight="1">
      <c r="A363" s="21">
        <f t="shared" si="31"/>
        <v>15</v>
      </c>
      <c r="B363" s="18">
        <f t="shared" si="30"/>
        <v>0.4</v>
      </c>
      <c r="C363" s="85"/>
      <c r="D363" s="19"/>
      <c r="E363" s="20"/>
    </row>
    <row r="364" spans="1:5" ht="12.95" customHeight="1">
      <c r="A364" s="21">
        <f t="shared" si="31"/>
        <v>16</v>
      </c>
      <c r="B364" s="18">
        <f t="shared" si="30"/>
        <v>0.36</v>
      </c>
      <c r="C364" s="85"/>
      <c r="D364" s="19"/>
      <c r="E364" s="20"/>
    </row>
    <row r="365" spans="1:5" ht="12.95" customHeight="1">
      <c r="A365" s="21">
        <f t="shared" si="31"/>
        <v>17</v>
      </c>
      <c r="B365" s="18">
        <f t="shared" si="30"/>
        <v>0.31999999999999995</v>
      </c>
      <c r="C365" s="85"/>
      <c r="D365" s="19"/>
      <c r="E365" s="20"/>
    </row>
    <row r="366" spans="1:5" ht="12.95" customHeight="1">
      <c r="A366" s="21">
        <f t="shared" si="31"/>
        <v>18</v>
      </c>
      <c r="B366" s="18">
        <f t="shared" si="30"/>
        <v>0.28</v>
      </c>
      <c r="C366" s="85"/>
      <c r="D366" s="19"/>
      <c r="E366" s="20"/>
    </row>
    <row r="367" spans="1:5" ht="12.95" customHeight="1">
      <c r="A367" s="21">
        <f t="shared" si="31"/>
        <v>19</v>
      </c>
      <c r="B367" s="18">
        <f t="shared" si="30"/>
        <v>0.24</v>
      </c>
      <c r="C367" s="85"/>
      <c r="D367" s="19"/>
      <c r="E367" s="20"/>
    </row>
    <row r="368" spans="1:5" ht="12.95" customHeight="1">
      <c r="A368" s="21">
        <f t="shared" si="31"/>
        <v>20</v>
      </c>
      <c r="B368" s="18">
        <f t="shared" si="30"/>
        <v>0.19999999999999996</v>
      </c>
      <c r="C368" s="85"/>
      <c r="D368" s="19"/>
      <c r="E368" s="20"/>
    </row>
    <row r="369" spans="1:5" ht="12.95" customHeight="1">
      <c r="A369" s="21">
        <f t="shared" si="31"/>
        <v>21</v>
      </c>
      <c r="B369" s="18">
        <f t="shared" si="30"/>
        <v>0.16000000000000003</v>
      </c>
      <c r="C369" s="85"/>
      <c r="D369" s="19"/>
      <c r="E369" s="20"/>
    </row>
    <row r="370" spans="1:5" ht="12.95" customHeight="1">
      <c r="A370" s="21">
        <f t="shared" si="31"/>
        <v>22</v>
      </c>
      <c r="B370" s="18">
        <f t="shared" si="30"/>
        <v>0.12</v>
      </c>
      <c r="C370" s="85"/>
      <c r="D370" s="19"/>
      <c r="E370" s="20"/>
    </row>
    <row r="371" spans="1:5" ht="12.95" customHeight="1">
      <c r="A371" s="21">
        <f t="shared" si="31"/>
        <v>23</v>
      </c>
      <c r="B371" s="18">
        <f t="shared" si="30"/>
        <v>0.07999999999999996</v>
      </c>
      <c r="C371" s="85"/>
      <c r="D371" s="19"/>
      <c r="E371" s="20"/>
    </row>
    <row r="372" spans="1:5" ht="12.95" customHeight="1">
      <c r="A372" s="21">
        <f t="shared" si="31"/>
        <v>24</v>
      </c>
      <c r="B372" s="18">
        <f t="shared" si="30"/>
        <v>0.040000000000000036</v>
      </c>
      <c r="C372" s="85"/>
      <c r="D372" s="19"/>
      <c r="E372" s="20"/>
    </row>
    <row r="373" spans="1:5" ht="12.95" customHeight="1" thickBot="1">
      <c r="A373" s="93">
        <f t="shared" si="31"/>
        <v>25</v>
      </c>
      <c r="B373" s="46">
        <f t="shared" si="30"/>
        <v>0</v>
      </c>
      <c r="C373" s="92"/>
      <c r="D373" s="24"/>
      <c r="E373" s="25"/>
    </row>
    <row r="374" spans="1:5" ht="12.95" customHeight="1" thickTop="1">
      <c r="A374" s="62"/>
      <c r="B374" s="137"/>
      <c r="C374" s="85"/>
      <c r="D374" s="19"/>
      <c r="E374" s="19"/>
    </row>
    <row r="375" ht="12.95" customHeight="1" thickBot="1"/>
    <row r="376" spans="1:5" ht="30" customHeight="1" thickTop="1">
      <c r="A376" s="1" t="s">
        <v>7</v>
      </c>
      <c r="B376" s="2">
        <v>92</v>
      </c>
      <c r="C376" s="3" t="s">
        <v>5</v>
      </c>
      <c r="D376" s="4" t="s">
        <v>82</v>
      </c>
      <c r="E376" s="5" t="s">
        <v>83</v>
      </c>
    </row>
    <row r="377" spans="1:5" ht="30" customHeight="1">
      <c r="A377" s="6" t="s">
        <v>2</v>
      </c>
      <c r="B377" s="7" t="s">
        <v>84</v>
      </c>
      <c r="C377" s="8"/>
      <c r="D377" s="53"/>
      <c r="E377" s="9"/>
    </row>
    <row r="378" spans="1:5" ht="30" customHeight="1">
      <c r="A378" s="6" t="s">
        <v>10</v>
      </c>
      <c r="B378" s="7"/>
      <c r="C378" s="8"/>
      <c r="D378" s="55"/>
      <c r="E378" s="9"/>
    </row>
    <row r="379" spans="1:5" ht="30" customHeight="1" thickBot="1">
      <c r="A379" s="6" t="s">
        <v>3</v>
      </c>
      <c r="B379" s="7" t="s">
        <v>85</v>
      </c>
      <c r="C379" s="83"/>
      <c r="D379" s="56"/>
      <c r="E379" s="57"/>
    </row>
    <row r="380" spans="1:5" ht="30" customHeight="1">
      <c r="A380" s="6" t="s">
        <v>4</v>
      </c>
      <c r="B380" s="136" t="s">
        <v>87</v>
      </c>
      <c r="C380" s="10" t="s">
        <v>6</v>
      </c>
      <c r="D380" s="11">
        <v>650</v>
      </c>
      <c r="E380" s="58"/>
    </row>
    <row r="381" spans="1:5" ht="30" customHeight="1" thickBot="1">
      <c r="A381" s="12" t="s">
        <v>11</v>
      </c>
      <c r="B381" s="37" t="s">
        <v>66</v>
      </c>
      <c r="C381" s="13" t="s">
        <v>0</v>
      </c>
      <c r="D381" s="14">
        <f>IF(D380&lt;0,"valor del indicador fuera de rango",IF(D380&lt;=1000,((-0.001*D380)+1),"valor del indicador fuera de rango"))</f>
        <v>0.35</v>
      </c>
      <c r="E381" s="59"/>
    </row>
    <row r="382" spans="1:5" ht="30" customHeight="1">
      <c r="A382" s="15" t="s">
        <v>9</v>
      </c>
      <c r="B382" s="16" t="s">
        <v>0</v>
      </c>
      <c r="C382" s="192" t="s">
        <v>8</v>
      </c>
      <c r="D382" s="193"/>
      <c r="E382" s="194"/>
    </row>
    <row r="383" spans="1:5" ht="12.95" customHeight="1">
      <c r="A383" s="17">
        <v>0</v>
      </c>
      <c r="B383" s="18">
        <f aca="true" t="shared" si="32" ref="B383:B403">((-0.001)*A383)+1</f>
        <v>1</v>
      </c>
      <c r="C383" s="19"/>
      <c r="D383" s="19"/>
      <c r="E383" s="20"/>
    </row>
    <row r="384" spans="1:5" ht="12.95" customHeight="1">
      <c r="A384" s="21">
        <f>+A383+50</f>
        <v>50</v>
      </c>
      <c r="B384" s="18">
        <f t="shared" si="32"/>
        <v>0.95</v>
      </c>
      <c r="C384" s="85"/>
      <c r="D384" s="19"/>
      <c r="E384" s="20"/>
    </row>
    <row r="385" spans="1:5" ht="12.95" customHeight="1">
      <c r="A385" s="21">
        <f aca="true" t="shared" si="33" ref="A385:A403">+A384+50</f>
        <v>100</v>
      </c>
      <c r="B385" s="18">
        <f t="shared" si="32"/>
        <v>0.9</v>
      </c>
      <c r="C385" s="85"/>
      <c r="D385" s="19"/>
      <c r="E385" s="20"/>
    </row>
    <row r="386" spans="1:5" ht="12.95" customHeight="1">
      <c r="A386" s="21">
        <f t="shared" si="33"/>
        <v>150</v>
      </c>
      <c r="B386" s="18">
        <f t="shared" si="32"/>
        <v>0.85</v>
      </c>
      <c r="C386" s="85"/>
      <c r="D386" s="19"/>
      <c r="E386" s="20"/>
    </row>
    <row r="387" spans="1:5" ht="12.95" customHeight="1">
      <c r="A387" s="21">
        <f t="shared" si="33"/>
        <v>200</v>
      </c>
      <c r="B387" s="18">
        <f t="shared" si="32"/>
        <v>0.8</v>
      </c>
      <c r="C387" s="85"/>
      <c r="D387" s="19"/>
      <c r="E387" s="20"/>
    </row>
    <row r="388" spans="1:5" ht="12.95" customHeight="1">
      <c r="A388" s="21">
        <f t="shared" si="33"/>
        <v>250</v>
      </c>
      <c r="B388" s="18">
        <f t="shared" si="32"/>
        <v>0.75</v>
      </c>
      <c r="C388" s="85"/>
      <c r="D388" s="19"/>
      <c r="E388" s="20"/>
    </row>
    <row r="389" spans="1:5" ht="12.95" customHeight="1">
      <c r="A389" s="21">
        <f t="shared" si="33"/>
        <v>300</v>
      </c>
      <c r="B389" s="18">
        <f t="shared" si="32"/>
        <v>0.7</v>
      </c>
      <c r="C389" s="85"/>
      <c r="D389" s="19"/>
      <c r="E389" s="20"/>
    </row>
    <row r="390" spans="1:5" ht="12.95" customHeight="1">
      <c r="A390" s="21">
        <f t="shared" si="33"/>
        <v>350</v>
      </c>
      <c r="B390" s="18">
        <f t="shared" si="32"/>
        <v>0.6499999999999999</v>
      </c>
      <c r="C390" s="85"/>
      <c r="D390" s="19"/>
      <c r="E390" s="20"/>
    </row>
    <row r="391" spans="1:5" ht="12.95" customHeight="1">
      <c r="A391" s="21">
        <f t="shared" si="33"/>
        <v>400</v>
      </c>
      <c r="B391" s="18">
        <f t="shared" si="32"/>
        <v>0.6</v>
      </c>
      <c r="C391" s="85"/>
      <c r="D391" s="19"/>
      <c r="E391" s="20"/>
    </row>
    <row r="392" spans="1:5" ht="12.95" customHeight="1">
      <c r="A392" s="21">
        <f t="shared" si="33"/>
        <v>450</v>
      </c>
      <c r="B392" s="18">
        <f t="shared" si="32"/>
        <v>0.55</v>
      </c>
      <c r="C392" s="85"/>
      <c r="D392" s="19"/>
      <c r="E392" s="20"/>
    </row>
    <row r="393" spans="1:5" ht="12.95" customHeight="1">
      <c r="A393" s="21">
        <f t="shared" si="33"/>
        <v>500</v>
      </c>
      <c r="B393" s="18">
        <f t="shared" si="32"/>
        <v>0.5</v>
      </c>
      <c r="C393" s="85"/>
      <c r="D393" s="19"/>
      <c r="E393" s="20"/>
    </row>
    <row r="394" spans="1:5" ht="12.95" customHeight="1">
      <c r="A394" s="21">
        <f t="shared" si="33"/>
        <v>550</v>
      </c>
      <c r="B394" s="18">
        <f t="shared" si="32"/>
        <v>0.44999999999999996</v>
      </c>
      <c r="C394" s="85"/>
      <c r="D394" s="19"/>
      <c r="E394" s="20"/>
    </row>
    <row r="395" spans="1:5" ht="12.95" customHeight="1">
      <c r="A395" s="21">
        <f t="shared" si="33"/>
        <v>600</v>
      </c>
      <c r="B395" s="18">
        <f t="shared" si="32"/>
        <v>0.4</v>
      </c>
      <c r="C395" s="85"/>
      <c r="D395" s="19"/>
      <c r="E395" s="20"/>
    </row>
    <row r="396" spans="1:5" ht="12.95" customHeight="1">
      <c r="A396" s="21">
        <f t="shared" si="33"/>
        <v>650</v>
      </c>
      <c r="B396" s="18">
        <f t="shared" si="32"/>
        <v>0.35</v>
      </c>
      <c r="C396" s="85"/>
      <c r="D396" s="19"/>
      <c r="E396" s="20"/>
    </row>
    <row r="397" spans="1:5" ht="12.95" customHeight="1">
      <c r="A397" s="21">
        <f t="shared" si="33"/>
        <v>700</v>
      </c>
      <c r="B397" s="18">
        <f t="shared" si="32"/>
        <v>0.29999999999999993</v>
      </c>
      <c r="C397" s="85"/>
      <c r="D397" s="19"/>
      <c r="E397" s="20"/>
    </row>
    <row r="398" spans="1:5" ht="12.95" customHeight="1">
      <c r="A398" s="21">
        <f t="shared" si="33"/>
        <v>750</v>
      </c>
      <c r="B398" s="18">
        <f t="shared" si="32"/>
        <v>0.25</v>
      </c>
      <c r="C398" s="85"/>
      <c r="D398" s="19"/>
      <c r="E398" s="20"/>
    </row>
    <row r="399" spans="1:5" ht="12.95" customHeight="1">
      <c r="A399" s="21">
        <f t="shared" si="33"/>
        <v>800</v>
      </c>
      <c r="B399" s="18">
        <f t="shared" si="32"/>
        <v>0.19999999999999996</v>
      </c>
      <c r="C399" s="85"/>
      <c r="D399" s="19"/>
      <c r="E399" s="20"/>
    </row>
    <row r="400" spans="1:5" ht="12.95" customHeight="1">
      <c r="A400" s="21">
        <f t="shared" si="33"/>
        <v>850</v>
      </c>
      <c r="B400" s="18">
        <f t="shared" si="32"/>
        <v>0.15000000000000002</v>
      </c>
      <c r="C400" s="85"/>
      <c r="D400" s="19"/>
      <c r="E400" s="20"/>
    </row>
    <row r="401" spans="1:5" ht="12.95" customHeight="1">
      <c r="A401" s="21">
        <f t="shared" si="33"/>
        <v>900</v>
      </c>
      <c r="B401" s="18">
        <f t="shared" si="32"/>
        <v>0.09999999999999998</v>
      </c>
      <c r="C401" s="85"/>
      <c r="D401" s="19"/>
      <c r="E401" s="20"/>
    </row>
    <row r="402" spans="1:5" ht="12.95" customHeight="1">
      <c r="A402" s="21">
        <f t="shared" si="33"/>
        <v>950</v>
      </c>
      <c r="B402" s="18">
        <f t="shared" si="32"/>
        <v>0.04999999999999993</v>
      </c>
      <c r="C402" s="85"/>
      <c r="D402" s="19"/>
      <c r="E402" s="20"/>
    </row>
    <row r="403" spans="1:5" ht="12.95" customHeight="1" thickBot="1">
      <c r="A403" s="93">
        <f t="shared" si="33"/>
        <v>1000</v>
      </c>
      <c r="B403" s="46">
        <f t="shared" si="32"/>
        <v>0</v>
      </c>
      <c r="C403" s="92"/>
      <c r="D403" s="24"/>
      <c r="E403" s="25"/>
    </row>
    <row r="404" ht="12.95" customHeight="1" thickTop="1"/>
    <row r="405" ht="12.95" customHeight="1" thickBot="1"/>
    <row r="406" spans="1:5" ht="30" customHeight="1" thickTop="1">
      <c r="A406" s="1" t="s">
        <v>7</v>
      </c>
      <c r="B406" s="2">
        <v>93</v>
      </c>
      <c r="C406" s="3" t="s">
        <v>5</v>
      </c>
      <c r="D406" s="4" t="s">
        <v>88</v>
      </c>
      <c r="E406" s="5" t="s">
        <v>74</v>
      </c>
    </row>
    <row r="407" spans="1:5" ht="30" customHeight="1">
      <c r="A407" s="6" t="s">
        <v>2</v>
      </c>
      <c r="B407" s="7" t="s">
        <v>86</v>
      </c>
      <c r="C407" s="8"/>
      <c r="D407" s="53" t="s">
        <v>89</v>
      </c>
      <c r="E407" s="9" t="s">
        <v>90</v>
      </c>
    </row>
    <row r="408" spans="1:5" ht="30" customHeight="1">
      <c r="A408" s="6" t="s">
        <v>10</v>
      </c>
      <c r="B408" s="7"/>
      <c r="C408" s="8"/>
      <c r="D408" s="55" t="s">
        <v>91</v>
      </c>
      <c r="E408" s="9" t="s">
        <v>92</v>
      </c>
    </row>
    <row r="409" spans="1:5" ht="30" customHeight="1" thickBot="1">
      <c r="A409" s="6" t="s">
        <v>3</v>
      </c>
      <c r="B409" s="7" t="s">
        <v>93</v>
      </c>
      <c r="C409" s="83"/>
      <c r="D409" s="55"/>
      <c r="E409" s="57"/>
    </row>
    <row r="410" spans="1:5" ht="30" customHeight="1">
      <c r="A410" s="6" t="s">
        <v>4</v>
      </c>
      <c r="B410" s="136" t="s">
        <v>65</v>
      </c>
      <c r="C410" s="10" t="s">
        <v>6</v>
      </c>
      <c r="D410" s="11">
        <v>3.25</v>
      </c>
      <c r="E410" s="58"/>
    </row>
    <row r="411" spans="1:5" ht="30" customHeight="1" thickBot="1">
      <c r="A411" s="12" t="s">
        <v>11</v>
      </c>
      <c r="B411" s="37" t="s">
        <v>66</v>
      </c>
      <c r="C411" s="13" t="s">
        <v>0</v>
      </c>
      <c r="D411" s="14">
        <f>IF(D410&lt;0,"valor del indicador fuera de rango",IF(D410&lt;=1,(-0.3*D410)+1,IF(D410&lt;=2.5,(-0.267*D410)+0.967,IF(D410&lt;=5,(-0.12*D410)+0.6,"valor del indicador fuera rango"))))</f>
        <v>0.20999999999999996</v>
      </c>
      <c r="E411" s="59"/>
    </row>
    <row r="412" spans="1:5" ht="30" customHeight="1">
      <c r="A412" s="15" t="s">
        <v>9</v>
      </c>
      <c r="B412" s="16" t="s">
        <v>0</v>
      </c>
      <c r="C412" s="192" t="s">
        <v>8</v>
      </c>
      <c r="D412" s="193"/>
      <c r="E412" s="194"/>
    </row>
    <row r="413" spans="1:5" ht="12.95" customHeight="1">
      <c r="A413" s="141">
        <v>0</v>
      </c>
      <c r="B413" s="18">
        <f>(-0.3*A413)+1</f>
        <v>1</v>
      </c>
      <c r="C413" s="19"/>
      <c r="D413" s="19"/>
      <c r="E413" s="20"/>
    </row>
    <row r="414" spans="1:5" ht="12.95" customHeight="1">
      <c r="A414" s="142">
        <f>+A413+0.25</f>
        <v>0.25</v>
      </c>
      <c r="B414" s="18">
        <f>(-0.3*A414)+1</f>
        <v>0.925</v>
      </c>
      <c r="C414" s="85"/>
      <c r="D414" s="19"/>
      <c r="E414" s="20"/>
    </row>
    <row r="415" spans="1:5" ht="12.95" customHeight="1">
      <c r="A415" s="142">
        <f aca="true" t="shared" si="34" ref="A415:A433">+A414+0.25</f>
        <v>0.5</v>
      </c>
      <c r="B415" s="18">
        <f>(-0.3*A415)+1</f>
        <v>0.85</v>
      </c>
      <c r="C415" s="85"/>
      <c r="D415" s="19"/>
      <c r="E415" s="20"/>
    </row>
    <row r="416" spans="1:5" ht="12.95" customHeight="1">
      <c r="A416" s="142">
        <f t="shared" si="34"/>
        <v>0.75</v>
      </c>
      <c r="B416" s="18">
        <f>(-0.3*A416)+1</f>
        <v>0.775</v>
      </c>
      <c r="C416" s="85"/>
      <c r="D416" s="19"/>
      <c r="E416" s="20"/>
    </row>
    <row r="417" spans="1:5" ht="12.95" customHeight="1">
      <c r="A417" s="142">
        <f t="shared" si="34"/>
        <v>1</v>
      </c>
      <c r="B417" s="18">
        <f>(-0.3*A417)+1</f>
        <v>0.7</v>
      </c>
      <c r="C417" s="85"/>
      <c r="D417" s="19"/>
      <c r="E417" s="20"/>
    </row>
    <row r="418" spans="1:5" ht="12.95" customHeight="1">
      <c r="A418" s="143">
        <f t="shared" si="34"/>
        <v>1.25</v>
      </c>
      <c r="B418" s="54">
        <f aca="true" t="shared" si="35" ref="B418:B423">(-0.267*A418)+0.967</f>
        <v>0.63325</v>
      </c>
      <c r="C418" s="85"/>
      <c r="D418" s="19"/>
      <c r="E418" s="20"/>
    </row>
    <row r="419" spans="1:5" ht="12.95" customHeight="1">
      <c r="A419" s="143">
        <f t="shared" si="34"/>
        <v>1.5</v>
      </c>
      <c r="B419" s="54">
        <f t="shared" si="35"/>
        <v>0.5665</v>
      </c>
      <c r="C419" s="85"/>
      <c r="D419" s="19"/>
      <c r="E419" s="20"/>
    </row>
    <row r="420" spans="1:5" ht="12.95" customHeight="1">
      <c r="A420" s="143">
        <f t="shared" si="34"/>
        <v>1.75</v>
      </c>
      <c r="B420" s="54">
        <f t="shared" si="35"/>
        <v>0.4997499999999999</v>
      </c>
      <c r="C420" s="85"/>
      <c r="D420" s="19"/>
      <c r="E420" s="20"/>
    </row>
    <row r="421" spans="1:5" ht="12.95" customHeight="1">
      <c r="A421" s="143">
        <f t="shared" si="34"/>
        <v>2</v>
      </c>
      <c r="B421" s="54">
        <f t="shared" si="35"/>
        <v>0.43299999999999994</v>
      </c>
      <c r="C421" s="85"/>
      <c r="D421" s="19"/>
      <c r="E421" s="20"/>
    </row>
    <row r="422" spans="1:5" ht="12.95" customHeight="1">
      <c r="A422" s="143">
        <f t="shared" si="34"/>
        <v>2.25</v>
      </c>
      <c r="B422" s="54">
        <f t="shared" si="35"/>
        <v>0.36624999999999996</v>
      </c>
      <c r="C422" s="85"/>
      <c r="D422" s="19"/>
      <c r="E422" s="20"/>
    </row>
    <row r="423" spans="1:5" ht="12.95" customHeight="1">
      <c r="A423" s="143">
        <f t="shared" si="34"/>
        <v>2.5</v>
      </c>
      <c r="B423" s="54">
        <f t="shared" si="35"/>
        <v>0.2995</v>
      </c>
      <c r="C423" s="85"/>
      <c r="D423" s="19"/>
      <c r="E423" s="20"/>
    </row>
    <row r="424" spans="1:5" ht="12.95" customHeight="1">
      <c r="A424" s="144">
        <f t="shared" si="34"/>
        <v>2.75</v>
      </c>
      <c r="B424" s="131">
        <f aca="true" t="shared" si="36" ref="B424:B433">(-0.12*A424)+0.6</f>
        <v>0.27</v>
      </c>
      <c r="C424" s="85"/>
      <c r="D424" s="19"/>
      <c r="E424" s="20"/>
    </row>
    <row r="425" spans="1:5" ht="12.95" customHeight="1">
      <c r="A425" s="144">
        <f t="shared" si="34"/>
        <v>3</v>
      </c>
      <c r="B425" s="131">
        <f t="shared" si="36"/>
        <v>0.24</v>
      </c>
      <c r="C425" s="85"/>
      <c r="D425" s="19"/>
      <c r="E425" s="20"/>
    </row>
    <row r="426" spans="1:5" ht="12.95" customHeight="1">
      <c r="A426" s="144">
        <f t="shared" si="34"/>
        <v>3.25</v>
      </c>
      <c r="B426" s="131">
        <f t="shared" si="36"/>
        <v>0.20999999999999996</v>
      </c>
      <c r="C426" s="85"/>
      <c r="D426" s="19"/>
      <c r="E426" s="20"/>
    </row>
    <row r="427" spans="1:5" ht="12.95" customHeight="1">
      <c r="A427" s="144">
        <f t="shared" si="34"/>
        <v>3.5</v>
      </c>
      <c r="B427" s="131">
        <f t="shared" si="36"/>
        <v>0.18</v>
      </c>
      <c r="C427" s="85"/>
      <c r="D427" s="19"/>
      <c r="E427" s="20"/>
    </row>
    <row r="428" spans="1:5" ht="12.95" customHeight="1">
      <c r="A428" s="144">
        <f t="shared" si="34"/>
        <v>3.75</v>
      </c>
      <c r="B428" s="131">
        <f t="shared" si="36"/>
        <v>0.15000000000000002</v>
      </c>
      <c r="C428" s="85"/>
      <c r="D428" s="19"/>
      <c r="E428" s="20"/>
    </row>
    <row r="429" spans="1:5" ht="12.95" customHeight="1">
      <c r="A429" s="144">
        <f t="shared" si="34"/>
        <v>4</v>
      </c>
      <c r="B429" s="131">
        <f t="shared" si="36"/>
        <v>0.12</v>
      </c>
      <c r="C429" s="85"/>
      <c r="D429" s="19"/>
      <c r="E429" s="20"/>
    </row>
    <row r="430" spans="1:5" ht="12.95" customHeight="1">
      <c r="A430" s="144">
        <f t="shared" si="34"/>
        <v>4.25</v>
      </c>
      <c r="B430" s="131">
        <f t="shared" si="36"/>
        <v>0.08999999999999997</v>
      </c>
      <c r="C430" s="85"/>
      <c r="D430" s="19"/>
      <c r="E430" s="20"/>
    </row>
    <row r="431" spans="1:5" ht="12.95" customHeight="1">
      <c r="A431" s="144">
        <f t="shared" si="34"/>
        <v>4.5</v>
      </c>
      <c r="B431" s="131">
        <f t="shared" si="36"/>
        <v>0.05999999999999994</v>
      </c>
      <c r="C431" s="85"/>
      <c r="D431" s="19"/>
      <c r="E431" s="20"/>
    </row>
    <row r="432" spans="1:5" ht="12.95" customHeight="1">
      <c r="A432" s="144">
        <f t="shared" si="34"/>
        <v>4.75</v>
      </c>
      <c r="B432" s="131">
        <f t="shared" si="36"/>
        <v>0.030000000000000027</v>
      </c>
      <c r="C432" s="85"/>
      <c r="D432" s="19"/>
      <c r="E432" s="20"/>
    </row>
    <row r="433" spans="1:5" ht="12.95" customHeight="1" thickBot="1">
      <c r="A433" s="145">
        <f t="shared" si="34"/>
        <v>5</v>
      </c>
      <c r="B433" s="138">
        <f t="shared" si="36"/>
        <v>0</v>
      </c>
      <c r="C433" s="92"/>
      <c r="D433" s="24"/>
      <c r="E433" s="25"/>
    </row>
    <row r="434" ht="12.95" customHeight="1" thickTop="1"/>
    <row r="435" ht="12.95" customHeight="1" thickBot="1"/>
    <row r="436" spans="1:5" ht="30" customHeight="1" thickTop="1">
      <c r="A436" s="1" t="s">
        <v>7</v>
      </c>
      <c r="B436" s="2">
        <v>94</v>
      </c>
      <c r="C436" s="3" t="s">
        <v>5</v>
      </c>
      <c r="D436" s="4" t="s">
        <v>94</v>
      </c>
      <c r="E436" s="5" t="s">
        <v>70</v>
      </c>
    </row>
    <row r="437" spans="1:5" ht="30" customHeight="1">
      <c r="A437" s="6" t="s">
        <v>2</v>
      </c>
      <c r="B437" s="7" t="s">
        <v>96</v>
      </c>
      <c r="C437" s="8"/>
      <c r="D437" s="53"/>
      <c r="E437" s="9"/>
    </row>
    <row r="438" spans="1:5" ht="30" customHeight="1">
      <c r="A438" s="6" t="s">
        <v>10</v>
      </c>
      <c r="B438" s="7"/>
      <c r="C438" s="8"/>
      <c r="D438" s="55"/>
      <c r="E438" s="9"/>
    </row>
    <row r="439" spans="1:5" ht="30" customHeight="1" thickBot="1">
      <c r="A439" s="6" t="s">
        <v>3</v>
      </c>
      <c r="B439" s="7" t="s">
        <v>97</v>
      </c>
      <c r="C439" s="83"/>
      <c r="D439" s="56"/>
      <c r="E439" s="57"/>
    </row>
    <row r="440" spans="1:5" ht="30" customHeight="1">
      <c r="A440" s="6" t="s">
        <v>4</v>
      </c>
      <c r="B440" s="7" t="s">
        <v>98</v>
      </c>
      <c r="C440" s="10" t="s">
        <v>6</v>
      </c>
      <c r="D440" s="11">
        <v>3</v>
      </c>
      <c r="E440" s="58"/>
    </row>
    <row r="441" spans="1:5" ht="30" customHeight="1" thickBot="1">
      <c r="A441" s="12" t="s">
        <v>11</v>
      </c>
      <c r="B441" s="37" t="s">
        <v>66</v>
      </c>
      <c r="C441" s="13" t="s">
        <v>0</v>
      </c>
      <c r="D441" s="14">
        <f>IF(D440&lt;0,"valor del indicador fuera de rango",IF(D440&lt;=30,(-0.0333*D440)+1,"valor del indicador fuera rango"))</f>
        <v>0.9001</v>
      </c>
      <c r="E441" s="59"/>
    </row>
    <row r="442" spans="1:5" ht="30" customHeight="1">
      <c r="A442" s="15" t="s">
        <v>9</v>
      </c>
      <c r="B442" s="16" t="s">
        <v>0</v>
      </c>
      <c r="C442" s="192" t="s">
        <v>8</v>
      </c>
      <c r="D442" s="193"/>
      <c r="E442" s="194"/>
    </row>
    <row r="443" spans="1:5" ht="12.95" customHeight="1">
      <c r="A443" s="17">
        <v>0</v>
      </c>
      <c r="B443" s="18">
        <f>((-0.0333)*A443)+1</f>
        <v>1</v>
      </c>
      <c r="C443" s="19"/>
      <c r="D443" s="19"/>
      <c r="E443" s="20"/>
    </row>
    <row r="444" spans="1:5" ht="12.95" customHeight="1">
      <c r="A444" s="21">
        <f>+A443+2</f>
        <v>2</v>
      </c>
      <c r="B444" s="18">
        <f aca="true" t="shared" si="37" ref="B444:B463">((-0.0333)*A444)+1</f>
        <v>0.9334</v>
      </c>
      <c r="C444" s="85"/>
      <c r="D444" s="19"/>
      <c r="E444" s="20"/>
    </row>
    <row r="445" spans="1:5" ht="12.95" customHeight="1">
      <c r="A445" s="21">
        <v>4</v>
      </c>
      <c r="B445" s="18">
        <f t="shared" si="37"/>
        <v>0.8668</v>
      </c>
      <c r="C445" s="85"/>
      <c r="D445" s="19"/>
      <c r="E445" s="20"/>
    </row>
    <row r="446" spans="1:5" ht="12.95" customHeight="1">
      <c r="A446" s="17">
        <v>6</v>
      </c>
      <c r="B446" s="18">
        <f t="shared" si="37"/>
        <v>0.8002</v>
      </c>
      <c r="C446" s="85"/>
      <c r="D446" s="19"/>
      <c r="E446" s="20"/>
    </row>
    <row r="447" spans="1:5" ht="12.95" customHeight="1">
      <c r="A447" s="21">
        <v>8</v>
      </c>
      <c r="B447" s="18">
        <f t="shared" si="37"/>
        <v>0.7336</v>
      </c>
      <c r="C447" s="85"/>
      <c r="D447" s="19"/>
      <c r="E447" s="20"/>
    </row>
    <row r="448" spans="1:5" ht="12.95" customHeight="1">
      <c r="A448" s="21">
        <v>10</v>
      </c>
      <c r="B448" s="18">
        <f t="shared" si="37"/>
        <v>0.667</v>
      </c>
      <c r="C448" s="85"/>
      <c r="D448" s="19"/>
      <c r="E448" s="20"/>
    </row>
    <row r="449" spans="1:5" ht="12.95" customHeight="1">
      <c r="A449" s="17">
        <v>11</v>
      </c>
      <c r="B449" s="18">
        <f t="shared" si="37"/>
        <v>0.6336999999999999</v>
      </c>
      <c r="C449" s="85"/>
      <c r="D449" s="19"/>
      <c r="E449" s="20"/>
    </row>
    <row r="450" spans="1:5" ht="12.95" customHeight="1">
      <c r="A450" s="21">
        <v>12</v>
      </c>
      <c r="B450" s="18">
        <f t="shared" si="37"/>
        <v>0.6003999999999999</v>
      </c>
      <c r="C450" s="85"/>
      <c r="D450" s="19"/>
      <c r="E450" s="20"/>
    </row>
    <row r="451" spans="1:5" ht="12.95" customHeight="1">
      <c r="A451" s="21">
        <v>13</v>
      </c>
      <c r="B451" s="18">
        <f t="shared" si="37"/>
        <v>0.5670999999999999</v>
      </c>
      <c r="C451" s="85"/>
      <c r="D451" s="19"/>
      <c r="E451" s="20"/>
    </row>
    <row r="452" spans="1:5" ht="12.95" customHeight="1">
      <c r="A452" s="17">
        <v>14</v>
      </c>
      <c r="B452" s="18">
        <f t="shared" si="37"/>
        <v>0.5337999999999999</v>
      </c>
      <c r="C452" s="85"/>
      <c r="D452" s="19"/>
      <c r="E452" s="20"/>
    </row>
    <row r="453" spans="1:5" ht="12.95" customHeight="1">
      <c r="A453" s="21">
        <v>15</v>
      </c>
      <c r="B453" s="18">
        <f t="shared" si="37"/>
        <v>0.5005</v>
      </c>
      <c r="C453" s="85"/>
      <c r="D453" s="19"/>
      <c r="E453" s="20"/>
    </row>
    <row r="454" spans="1:5" ht="12.95" customHeight="1">
      <c r="A454" s="21">
        <v>16</v>
      </c>
      <c r="B454" s="18">
        <f t="shared" si="37"/>
        <v>0.46719999999999995</v>
      </c>
      <c r="C454" s="85"/>
      <c r="D454" s="19"/>
      <c r="E454" s="20"/>
    </row>
    <row r="455" spans="1:5" ht="12.95" customHeight="1">
      <c r="A455" s="17">
        <v>18</v>
      </c>
      <c r="B455" s="18">
        <f t="shared" si="37"/>
        <v>0.40059999999999996</v>
      </c>
      <c r="C455" s="85"/>
      <c r="D455" s="19"/>
      <c r="E455" s="20"/>
    </row>
    <row r="456" spans="1:5" ht="12.95" customHeight="1">
      <c r="A456" s="21">
        <v>20</v>
      </c>
      <c r="B456" s="18">
        <f t="shared" si="37"/>
        <v>0.33399999999999996</v>
      </c>
      <c r="C456" s="85"/>
      <c r="D456" s="19"/>
      <c r="E456" s="20"/>
    </row>
    <row r="457" spans="1:5" ht="12.95" customHeight="1">
      <c r="A457" s="21">
        <v>22</v>
      </c>
      <c r="B457" s="18">
        <f t="shared" si="37"/>
        <v>0.26739999999999997</v>
      </c>
      <c r="C457" s="85"/>
      <c r="D457" s="19"/>
      <c r="E457" s="20"/>
    </row>
    <row r="458" spans="1:5" ht="12.95" customHeight="1">
      <c r="A458" s="17">
        <v>24</v>
      </c>
      <c r="B458" s="18">
        <f t="shared" si="37"/>
        <v>0.20079999999999987</v>
      </c>
      <c r="C458" s="85"/>
      <c r="D458" s="19"/>
      <c r="E458" s="20"/>
    </row>
    <row r="459" spans="1:5" ht="12.95" customHeight="1">
      <c r="A459" s="21">
        <v>26</v>
      </c>
      <c r="B459" s="18">
        <f t="shared" si="37"/>
        <v>0.13419999999999987</v>
      </c>
      <c r="C459" s="85"/>
      <c r="D459" s="19"/>
      <c r="E459" s="20"/>
    </row>
    <row r="460" spans="1:5" ht="12.95" customHeight="1">
      <c r="A460" s="21">
        <v>27</v>
      </c>
      <c r="B460" s="18">
        <f t="shared" si="37"/>
        <v>0.10089999999999988</v>
      </c>
      <c r="C460" s="85"/>
      <c r="D460" s="19"/>
      <c r="E460" s="20"/>
    </row>
    <row r="461" spans="1:5" ht="12.95" customHeight="1">
      <c r="A461" s="17">
        <v>28</v>
      </c>
      <c r="B461" s="18">
        <f t="shared" si="37"/>
        <v>0.06759999999999988</v>
      </c>
      <c r="C461" s="85"/>
      <c r="D461" s="19"/>
      <c r="E461" s="20"/>
    </row>
    <row r="462" spans="1:5" ht="12.95" customHeight="1">
      <c r="A462" s="21">
        <v>29</v>
      </c>
      <c r="B462" s="18">
        <f t="shared" si="37"/>
        <v>0.034299999999999886</v>
      </c>
      <c r="C462" s="85"/>
      <c r="D462" s="19"/>
      <c r="E462" s="20"/>
    </row>
    <row r="463" spans="1:5" ht="12.95" customHeight="1" thickBot="1">
      <c r="A463" s="93">
        <v>30</v>
      </c>
      <c r="B463" s="46">
        <f t="shared" si="37"/>
        <v>0.0009999999999998899</v>
      </c>
      <c r="C463" s="92"/>
      <c r="D463" s="24"/>
      <c r="E463" s="25"/>
    </row>
    <row r="464" ht="12.95" customHeight="1" thickTop="1"/>
    <row r="465" ht="12.95" customHeight="1" thickBot="1"/>
    <row r="466" spans="1:5" ht="30" customHeight="1" thickTop="1">
      <c r="A466" s="1" t="s">
        <v>7</v>
      </c>
      <c r="B466" s="2">
        <v>95</v>
      </c>
      <c r="C466" s="3" t="s">
        <v>5</v>
      </c>
      <c r="D466" s="4" t="s">
        <v>99</v>
      </c>
      <c r="E466" s="5" t="s">
        <v>100</v>
      </c>
    </row>
    <row r="467" spans="1:5" ht="30" customHeight="1">
      <c r="A467" s="6" t="s">
        <v>2</v>
      </c>
      <c r="B467" s="7" t="s">
        <v>101</v>
      </c>
      <c r="C467" s="8"/>
      <c r="D467" s="53" t="s">
        <v>102</v>
      </c>
      <c r="E467" s="9" t="s">
        <v>103</v>
      </c>
    </row>
    <row r="468" spans="1:5" ht="30" customHeight="1">
      <c r="A468" s="6" t="s">
        <v>10</v>
      </c>
      <c r="B468" s="7"/>
      <c r="C468" s="8"/>
      <c r="D468" s="55" t="s">
        <v>104</v>
      </c>
      <c r="E468" s="9" t="s">
        <v>105</v>
      </c>
    </row>
    <row r="469" spans="1:5" ht="30" customHeight="1" thickBot="1">
      <c r="A469" s="6" t="s">
        <v>3</v>
      </c>
      <c r="B469" s="7" t="s">
        <v>106</v>
      </c>
      <c r="C469" s="83"/>
      <c r="D469" s="55"/>
      <c r="E469" s="57"/>
    </row>
    <row r="470" spans="1:5" ht="30" customHeight="1">
      <c r="A470" s="6" t="s">
        <v>4</v>
      </c>
      <c r="B470" s="7" t="s">
        <v>107</v>
      </c>
      <c r="C470" s="10" t="s">
        <v>6</v>
      </c>
      <c r="D470" s="11">
        <v>40</v>
      </c>
      <c r="E470" s="58"/>
    </row>
    <row r="471" spans="1:5" ht="30" customHeight="1" thickBot="1">
      <c r="A471" s="12" t="s">
        <v>11</v>
      </c>
      <c r="B471" s="37" t="s">
        <v>66</v>
      </c>
      <c r="C471" s="13" t="s">
        <v>0</v>
      </c>
      <c r="D471" s="14">
        <f>IF(D470&lt;30,"valor del indicador fuera de rango",IF(D470&lt;=50,(0.015*D470)-0.45,IF(D470&lt;=70,(0.02*D470)-0.7,IF(D470&lt;=100,0.01*D470,"valor del indicador fuera rango"))))</f>
        <v>0.14999999999999997</v>
      </c>
      <c r="E471" s="59"/>
    </row>
    <row r="472" spans="1:5" ht="30" customHeight="1">
      <c r="A472" s="15" t="s">
        <v>9</v>
      </c>
      <c r="B472" s="16" t="s">
        <v>0</v>
      </c>
      <c r="C472" s="192" t="s">
        <v>8</v>
      </c>
      <c r="D472" s="193"/>
      <c r="E472" s="194"/>
    </row>
    <row r="473" spans="1:5" ht="12.95" customHeight="1">
      <c r="A473" s="17">
        <v>30</v>
      </c>
      <c r="B473" s="18">
        <f aca="true" t="shared" si="38" ref="B473:B478">(0.015*A473)-0.45</f>
        <v>0</v>
      </c>
      <c r="C473" s="19"/>
      <c r="D473" s="19"/>
      <c r="E473" s="20"/>
    </row>
    <row r="474" spans="1:5" ht="12.95" customHeight="1">
      <c r="A474" s="21">
        <f>+A473+3.5</f>
        <v>33.5</v>
      </c>
      <c r="B474" s="18">
        <f t="shared" si="38"/>
        <v>0.052499999999999936</v>
      </c>
      <c r="C474" s="85"/>
      <c r="D474" s="19"/>
      <c r="E474" s="20"/>
    </row>
    <row r="475" spans="1:5" ht="12.95" customHeight="1">
      <c r="A475" s="21">
        <f aca="true" t="shared" si="39" ref="A475:A493">+A474+3.5</f>
        <v>37</v>
      </c>
      <c r="B475" s="18">
        <f t="shared" si="38"/>
        <v>0.10499999999999993</v>
      </c>
      <c r="C475" s="85"/>
      <c r="D475" s="19"/>
      <c r="E475" s="20"/>
    </row>
    <row r="476" spans="1:5" ht="12.95" customHeight="1">
      <c r="A476" s="21">
        <f t="shared" si="39"/>
        <v>40.5</v>
      </c>
      <c r="B476" s="18">
        <f t="shared" si="38"/>
        <v>0.15749999999999992</v>
      </c>
      <c r="C476" s="85"/>
      <c r="D476" s="19"/>
      <c r="E476" s="20"/>
    </row>
    <row r="477" spans="1:5" ht="12.95" customHeight="1">
      <c r="A477" s="21">
        <f t="shared" si="39"/>
        <v>44</v>
      </c>
      <c r="B477" s="18">
        <f t="shared" si="38"/>
        <v>0.2099999999999999</v>
      </c>
      <c r="C477" s="85"/>
      <c r="D477" s="19"/>
      <c r="E477" s="20"/>
    </row>
    <row r="478" spans="1:5" ht="12.95" customHeight="1">
      <c r="A478" s="21">
        <f t="shared" si="39"/>
        <v>47.5</v>
      </c>
      <c r="B478" s="18">
        <f t="shared" si="38"/>
        <v>0.2625</v>
      </c>
      <c r="C478" s="85"/>
      <c r="D478" s="19"/>
      <c r="E478" s="20"/>
    </row>
    <row r="479" spans="1:5" ht="12.95" customHeight="1">
      <c r="A479" s="60">
        <f t="shared" si="39"/>
        <v>51</v>
      </c>
      <c r="B479" s="54">
        <f aca="true" t="shared" si="40" ref="B479:B484">(0.02*A479)-0.7</f>
        <v>0.32000000000000006</v>
      </c>
      <c r="C479" s="85"/>
      <c r="D479" s="19"/>
      <c r="E479" s="20"/>
    </row>
    <row r="480" spans="1:5" ht="12.95" customHeight="1">
      <c r="A480" s="60">
        <f t="shared" si="39"/>
        <v>54.5</v>
      </c>
      <c r="B480" s="54">
        <f t="shared" si="40"/>
        <v>0.3900000000000001</v>
      </c>
      <c r="C480" s="85"/>
      <c r="D480" s="19"/>
      <c r="E480" s="20"/>
    </row>
    <row r="481" spans="1:5" ht="12.95" customHeight="1">
      <c r="A481" s="60">
        <f t="shared" si="39"/>
        <v>58</v>
      </c>
      <c r="B481" s="54">
        <f t="shared" si="40"/>
        <v>0.45999999999999996</v>
      </c>
      <c r="C481" s="85"/>
      <c r="D481" s="19"/>
      <c r="E481" s="20"/>
    </row>
    <row r="482" spans="1:5" ht="12.95" customHeight="1">
      <c r="A482" s="60">
        <f t="shared" si="39"/>
        <v>61.5</v>
      </c>
      <c r="B482" s="54">
        <f t="shared" si="40"/>
        <v>0.53</v>
      </c>
      <c r="C482" s="85"/>
      <c r="D482" s="19"/>
      <c r="E482" s="20"/>
    </row>
    <row r="483" spans="1:5" ht="12.95" customHeight="1">
      <c r="A483" s="60">
        <f t="shared" si="39"/>
        <v>65</v>
      </c>
      <c r="B483" s="54">
        <f t="shared" si="40"/>
        <v>0.6000000000000001</v>
      </c>
      <c r="C483" s="85"/>
      <c r="D483" s="19"/>
      <c r="E483" s="20"/>
    </row>
    <row r="484" spans="1:5" ht="12.95" customHeight="1">
      <c r="A484" s="60">
        <f t="shared" si="39"/>
        <v>68.5</v>
      </c>
      <c r="B484" s="54">
        <f t="shared" si="40"/>
        <v>0.6700000000000002</v>
      </c>
      <c r="C484" s="85"/>
      <c r="D484" s="19"/>
      <c r="E484" s="20"/>
    </row>
    <row r="485" spans="1:5" ht="12.95" customHeight="1">
      <c r="A485" s="130">
        <f t="shared" si="39"/>
        <v>72</v>
      </c>
      <c r="B485" s="131">
        <f aca="true" t="shared" si="41" ref="B485:B493">0.01*A485</f>
        <v>0.72</v>
      </c>
      <c r="C485" s="85"/>
      <c r="D485" s="19"/>
      <c r="E485" s="20"/>
    </row>
    <row r="486" spans="1:5" ht="12.95" customHeight="1">
      <c r="A486" s="130">
        <f t="shared" si="39"/>
        <v>75.5</v>
      </c>
      <c r="B486" s="131">
        <f t="shared" si="41"/>
        <v>0.755</v>
      </c>
      <c r="C486" s="85"/>
      <c r="D486" s="19"/>
      <c r="E486" s="20"/>
    </row>
    <row r="487" spans="1:5" ht="12.95" customHeight="1">
      <c r="A487" s="130">
        <f t="shared" si="39"/>
        <v>79</v>
      </c>
      <c r="B487" s="131">
        <f t="shared" si="41"/>
        <v>0.79</v>
      </c>
      <c r="C487" s="85"/>
      <c r="D487" s="19"/>
      <c r="E487" s="20"/>
    </row>
    <row r="488" spans="1:5" ht="12.95" customHeight="1">
      <c r="A488" s="130">
        <f t="shared" si="39"/>
        <v>82.5</v>
      </c>
      <c r="B488" s="131">
        <f t="shared" si="41"/>
        <v>0.8250000000000001</v>
      </c>
      <c r="C488" s="85"/>
      <c r="D488" s="19"/>
      <c r="E488" s="20"/>
    </row>
    <row r="489" spans="1:5" ht="12.95" customHeight="1">
      <c r="A489" s="130">
        <f t="shared" si="39"/>
        <v>86</v>
      </c>
      <c r="B489" s="131">
        <f t="shared" si="41"/>
        <v>0.86</v>
      </c>
      <c r="C489" s="85"/>
      <c r="D489" s="19"/>
      <c r="E489" s="20"/>
    </row>
    <row r="490" spans="1:5" ht="12.95" customHeight="1">
      <c r="A490" s="130">
        <f t="shared" si="39"/>
        <v>89.5</v>
      </c>
      <c r="B490" s="131">
        <f t="shared" si="41"/>
        <v>0.895</v>
      </c>
      <c r="C490" s="85"/>
      <c r="D490" s="19"/>
      <c r="E490" s="20"/>
    </row>
    <row r="491" spans="1:5" ht="12.95" customHeight="1">
      <c r="A491" s="130">
        <f t="shared" si="39"/>
        <v>93</v>
      </c>
      <c r="B491" s="131">
        <f t="shared" si="41"/>
        <v>0.93</v>
      </c>
      <c r="C491" s="85"/>
      <c r="D491" s="19"/>
      <c r="E491" s="20"/>
    </row>
    <row r="492" spans="1:5" ht="12.95" customHeight="1">
      <c r="A492" s="130">
        <f t="shared" si="39"/>
        <v>96.5</v>
      </c>
      <c r="B492" s="131">
        <f t="shared" si="41"/>
        <v>0.965</v>
      </c>
      <c r="C492" s="85"/>
      <c r="D492" s="19"/>
      <c r="E492" s="20"/>
    </row>
    <row r="493" spans="1:5" ht="12.95" customHeight="1" thickBot="1">
      <c r="A493" s="132">
        <f t="shared" si="39"/>
        <v>100</v>
      </c>
      <c r="B493" s="133">
        <f t="shared" si="41"/>
        <v>1</v>
      </c>
      <c r="C493" s="92"/>
      <c r="D493" s="24"/>
      <c r="E493" s="25"/>
    </row>
    <row r="494" ht="12.95" customHeight="1" thickTop="1"/>
    <row r="495" ht="12.95" customHeight="1" thickBot="1"/>
    <row r="496" spans="1:5" ht="30" customHeight="1" thickTop="1">
      <c r="A496" s="1" t="s">
        <v>7</v>
      </c>
      <c r="B496" s="2">
        <v>96</v>
      </c>
      <c r="C496" s="3" t="s">
        <v>5</v>
      </c>
      <c r="D496" s="4" t="s">
        <v>108</v>
      </c>
      <c r="E496" s="5" t="s">
        <v>109</v>
      </c>
    </row>
    <row r="497" spans="1:5" ht="30" customHeight="1">
      <c r="A497" s="6" t="s">
        <v>2</v>
      </c>
      <c r="B497" s="7" t="s">
        <v>114</v>
      </c>
      <c r="C497" s="8"/>
      <c r="D497" s="53" t="s">
        <v>110</v>
      </c>
      <c r="E497" s="9" t="s">
        <v>111</v>
      </c>
    </row>
    <row r="498" spans="1:5" ht="30" customHeight="1">
      <c r="A498" s="6" t="s">
        <v>10</v>
      </c>
      <c r="B498" s="7"/>
      <c r="C498" s="8"/>
      <c r="D498" s="53" t="s">
        <v>112</v>
      </c>
      <c r="E498" s="9" t="s">
        <v>113</v>
      </c>
    </row>
    <row r="499" spans="1:5" ht="30" customHeight="1" thickBot="1">
      <c r="A499" s="6" t="s">
        <v>3</v>
      </c>
      <c r="B499" s="7" t="s">
        <v>95</v>
      </c>
      <c r="C499" s="83"/>
      <c r="D499" s="55"/>
      <c r="E499" s="57"/>
    </row>
    <row r="500" spans="1:5" ht="30" customHeight="1">
      <c r="A500" s="6" t="s">
        <v>4</v>
      </c>
      <c r="B500" s="7" t="s">
        <v>115</v>
      </c>
      <c r="C500" s="10" t="s">
        <v>6</v>
      </c>
      <c r="D500" s="11">
        <v>6</v>
      </c>
      <c r="E500" s="58"/>
    </row>
    <row r="501" spans="1:5" ht="30" customHeight="1" thickBot="1">
      <c r="A501" s="12" t="s">
        <v>11</v>
      </c>
      <c r="B501" s="37" t="s">
        <v>66</v>
      </c>
      <c r="C501" s="13" t="s">
        <v>0</v>
      </c>
      <c r="D501" s="14">
        <f>IF(D500&lt;0,"valor del indicador fuera de rango",IF(D500&lt;=3,-0.1*D500+1,IF(D500&lt;=5,-0.2*D500+1.3,IF(D500&lt;=7,-0.15*D500+1.05,"valor del indicador fuera rango"))))</f>
        <v>0.15000000000000013</v>
      </c>
      <c r="E501" s="59"/>
    </row>
    <row r="502" spans="1:5" ht="30" customHeight="1">
      <c r="A502" s="15" t="s">
        <v>9</v>
      </c>
      <c r="B502" s="16" t="s">
        <v>0</v>
      </c>
      <c r="C502" s="192" t="s">
        <v>8</v>
      </c>
      <c r="D502" s="193"/>
      <c r="E502" s="194"/>
    </row>
    <row r="503" spans="1:5" ht="12.95" customHeight="1">
      <c r="A503" s="87">
        <v>0</v>
      </c>
      <c r="B503" s="18">
        <f aca="true" t="shared" si="42" ref="B503:B508">(-0.1*A503)+1</f>
        <v>1</v>
      </c>
      <c r="C503" s="19"/>
      <c r="D503" s="19"/>
      <c r="E503" s="20"/>
    </row>
    <row r="504" spans="1:5" ht="12.95" customHeight="1">
      <c r="A504" s="88">
        <v>0.5</v>
      </c>
      <c r="B504" s="18">
        <f t="shared" si="42"/>
        <v>0.95</v>
      </c>
      <c r="C504" s="85"/>
      <c r="D504" s="19"/>
      <c r="E504" s="20"/>
    </row>
    <row r="505" spans="1:5" ht="12.95" customHeight="1">
      <c r="A505" s="88">
        <v>1</v>
      </c>
      <c r="B505" s="18">
        <f t="shared" si="42"/>
        <v>0.9</v>
      </c>
      <c r="C505" s="85"/>
      <c r="D505" s="19"/>
      <c r="E505" s="20"/>
    </row>
    <row r="506" spans="1:5" ht="12.95" customHeight="1">
      <c r="A506" s="88">
        <v>1.5</v>
      </c>
      <c r="B506" s="18">
        <f t="shared" si="42"/>
        <v>0.85</v>
      </c>
      <c r="C506" s="85"/>
      <c r="D506" s="19"/>
      <c r="E506" s="20"/>
    </row>
    <row r="507" spans="1:5" ht="12.95" customHeight="1">
      <c r="A507" s="88">
        <v>2</v>
      </c>
      <c r="B507" s="18">
        <f t="shared" si="42"/>
        <v>0.8</v>
      </c>
      <c r="C507" s="85"/>
      <c r="D507" s="19"/>
      <c r="E507" s="20"/>
    </row>
    <row r="508" spans="1:5" ht="12.95" customHeight="1">
      <c r="A508" s="88">
        <v>2.5</v>
      </c>
      <c r="B508" s="18">
        <f t="shared" si="42"/>
        <v>0.75</v>
      </c>
      <c r="C508" s="85"/>
      <c r="D508" s="19"/>
      <c r="E508" s="20"/>
    </row>
    <row r="509" spans="1:5" ht="12.95" customHeight="1">
      <c r="A509" s="89">
        <v>3</v>
      </c>
      <c r="B509" s="54">
        <f>(-0.2*A509)+1.3</f>
        <v>0.7</v>
      </c>
      <c r="C509" s="85"/>
      <c r="D509" s="19"/>
      <c r="E509" s="20"/>
    </row>
    <row r="510" spans="1:5" ht="12.95" customHeight="1">
      <c r="A510" s="89">
        <f aca="true" t="shared" si="43" ref="A510:A522">+A509+0.3</f>
        <v>3.3</v>
      </c>
      <c r="B510" s="54">
        <f aca="true" t="shared" si="44" ref="B510:B515">(-0.2*A510)+1.3</f>
        <v>0.64</v>
      </c>
      <c r="C510" s="85"/>
      <c r="D510" s="19"/>
      <c r="E510" s="20"/>
    </row>
    <row r="511" spans="1:5" ht="12.95" customHeight="1">
      <c r="A511" s="89">
        <f t="shared" si="43"/>
        <v>3.5999999999999996</v>
      </c>
      <c r="B511" s="54">
        <f t="shared" si="44"/>
        <v>0.5800000000000001</v>
      </c>
      <c r="C511" s="85"/>
      <c r="D511" s="19"/>
      <c r="E511" s="20"/>
    </row>
    <row r="512" spans="1:5" ht="12.95" customHeight="1">
      <c r="A512" s="89">
        <f t="shared" si="43"/>
        <v>3.8999999999999995</v>
      </c>
      <c r="B512" s="54">
        <f t="shared" si="44"/>
        <v>0.5200000000000001</v>
      </c>
      <c r="C512" s="85"/>
      <c r="D512" s="19"/>
      <c r="E512" s="20"/>
    </row>
    <row r="513" spans="1:5" ht="12.95" customHeight="1">
      <c r="A513" s="89">
        <f t="shared" si="43"/>
        <v>4.199999999999999</v>
      </c>
      <c r="B513" s="54">
        <f t="shared" si="44"/>
        <v>0.4600000000000002</v>
      </c>
      <c r="C513" s="85"/>
      <c r="D513" s="19"/>
      <c r="E513" s="20"/>
    </row>
    <row r="514" spans="1:5" ht="12.95" customHeight="1">
      <c r="A514" s="89">
        <f t="shared" si="43"/>
        <v>4.499999999999999</v>
      </c>
      <c r="B514" s="54">
        <f t="shared" si="44"/>
        <v>0.40000000000000013</v>
      </c>
      <c r="C514" s="85"/>
      <c r="D514" s="19"/>
      <c r="E514" s="20"/>
    </row>
    <row r="515" spans="1:5" ht="12.95" customHeight="1">
      <c r="A515" s="89">
        <f t="shared" si="43"/>
        <v>4.799999999999999</v>
      </c>
      <c r="B515" s="54">
        <f t="shared" si="44"/>
        <v>0.3400000000000002</v>
      </c>
      <c r="C515" s="85"/>
      <c r="D515" s="19"/>
      <c r="E515" s="20"/>
    </row>
    <row r="516" spans="1:5" ht="12.95" customHeight="1">
      <c r="A516" s="139">
        <f t="shared" si="43"/>
        <v>5.099999999999999</v>
      </c>
      <c r="B516" s="131">
        <f aca="true" t="shared" si="45" ref="B516:B523">(-0.15*A516)+1.05</f>
        <v>0.28500000000000025</v>
      </c>
      <c r="C516" s="85"/>
      <c r="D516" s="19"/>
      <c r="E516" s="20"/>
    </row>
    <row r="517" spans="1:5" ht="12.95" customHeight="1">
      <c r="A517" s="139">
        <f t="shared" si="43"/>
        <v>5.399999999999999</v>
      </c>
      <c r="B517" s="131">
        <f t="shared" si="45"/>
        <v>0.24000000000000032</v>
      </c>
      <c r="C517" s="85"/>
      <c r="D517" s="19"/>
      <c r="E517" s="20"/>
    </row>
    <row r="518" spans="1:5" ht="12.95" customHeight="1">
      <c r="A518" s="139">
        <f t="shared" si="43"/>
        <v>5.699999999999998</v>
      </c>
      <c r="B518" s="131">
        <f t="shared" si="45"/>
        <v>0.19500000000000028</v>
      </c>
      <c r="C518" s="85"/>
      <c r="D518" s="19"/>
      <c r="E518" s="20"/>
    </row>
    <row r="519" spans="1:5" ht="12.95" customHeight="1">
      <c r="A519" s="139">
        <f t="shared" si="43"/>
        <v>5.999999999999998</v>
      </c>
      <c r="B519" s="131">
        <f t="shared" si="45"/>
        <v>0.15000000000000036</v>
      </c>
      <c r="C519" s="85"/>
      <c r="D519" s="19"/>
      <c r="E519" s="20"/>
    </row>
    <row r="520" spans="1:5" ht="12.95" customHeight="1">
      <c r="A520" s="139">
        <f t="shared" si="43"/>
        <v>6.299999999999998</v>
      </c>
      <c r="B520" s="131">
        <f t="shared" si="45"/>
        <v>0.10500000000000043</v>
      </c>
      <c r="C520" s="85"/>
      <c r="D520" s="19"/>
      <c r="E520" s="20"/>
    </row>
    <row r="521" spans="1:5" ht="12.95" customHeight="1">
      <c r="A521" s="139">
        <f t="shared" si="43"/>
        <v>6.599999999999998</v>
      </c>
      <c r="B521" s="131">
        <f t="shared" si="45"/>
        <v>0.060000000000000386</v>
      </c>
      <c r="C521" s="85"/>
      <c r="D521" s="19"/>
      <c r="E521" s="20"/>
    </row>
    <row r="522" spans="1:5" ht="12.95" customHeight="1">
      <c r="A522" s="139">
        <f t="shared" si="43"/>
        <v>6.899999999999998</v>
      </c>
      <c r="B522" s="131">
        <f t="shared" si="45"/>
        <v>0.015000000000000346</v>
      </c>
      <c r="C522" s="85"/>
      <c r="D522" s="19"/>
      <c r="E522" s="20"/>
    </row>
    <row r="523" spans="1:5" ht="12.95" customHeight="1" thickBot="1">
      <c r="A523" s="140">
        <v>7</v>
      </c>
      <c r="B523" s="133">
        <f t="shared" si="45"/>
        <v>0</v>
      </c>
      <c r="C523" s="92"/>
      <c r="D523" s="24"/>
      <c r="E523" s="25"/>
    </row>
    <row r="524" ht="12.95" customHeight="1" thickTop="1"/>
    <row r="525" ht="12.95" customHeight="1" thickBot="1"/>
    <row r="526" spans="1:5" ht="30" customHeight="1" thickTop="1">
      <c r="A526" s="1" t="s">
        <v>7</v>
      </c>
      <c r="B526" s="2">
        <v>97</v>
      </c>
      <c r="C526" s="3" t="s">
        <v>5</v>
      </c>
      <c r="D526" s="4" t="s">
        <v>116</v>
      </c>
      <c r="E526" s="5" t="s">
        <v>13</v>
      </c>
    </row>
    <row r="527" spans="1:5" ht="30" customHeight="1">
      <c r="A527" s="6" t="s">
        <v>2</v>
      </c>
      <c r="B527" s="7" t="s">
        <v>117</v>
      </c>
      <c r="C527" s="8"/>
      <c r="D527" s="53" t="s">
        <v>118</v>
      </c>
      <c r="E527" s="9" t="s">
        <v>119</v>
      </c>
    </row>
    <row r="528" spans="1:5" ht="30" customHeight="1">
      <c r="A528" s="6" t="s">
        <v>10</v>
      </c>
      <c r="B528" s="7"/>
      <c r="C528" s="8"/>
      <c r="D528" s="53" t="s">
        <v>120</v>
      </c>
      <c r="E528" s="9" t="s">
        <v>121</v>
      </c>
    </row>
    <row r="529" spans="1:5" ht="30" customHeight="1" thickBot="1">
      <c r="A529" s="6" t="s">
        <v>3</v>
      </c>
      <c r="B529" s="7" t="s">
        <v>122</v>
      </c>
      <c r="C529" s="83"/>
      <c r="D529" s="55"/>
      <c r="E529" s="57"/>
    </row>
    <row r="530" spans="1:5" ht="30" customHeight="1">
      <c r="A530" s="6" t="s">
        <v>4</v>
      </c>
      <c r="B530" s="7" t="s">
        <v>123</v>
      </c>
      <c r="C530" s="10" t="s">
        <v>6</v>
      </c>
      <c r="D530" s="11">
        <v>500</v>
      </c>
      <c r="E530" s="58"/>
    </row>
    <row r="531" spans="1:5" ht="30" customHeight="1" thickBot="1">
      <c r="A531" s="12" t="s">
        <v>11</v>
      </c>
      <c r="B531" s="37" t="s">
        <v>66</v>
      </c>
      <c r="C531" s="13" t="s">
        <v>0</v>
      </c>
      <c r="D531" s="14">
        <f>IF(D530&lt;0,"valor del indicador fuera de rango",IF(D530&lt;=50,-0.006*D530+1,IF(D530&lt;=5000,-0.0000808*D530+0.704,IF(D530&lt;=50000,-0.00000667*D530+0.333,"valor del indicador fuera rango"))))</f>
        <v>0.6636</v>
      </c>
      <c r="E531" s="59"/>
    </row>
    <row r="532" spans="1:5" ht="30" customHeight="1">
      <c r="A532" s="15" t="s">
        <v>9</v>
      </c>
      <c r="B532" s="16" t="s">
        <v>0</v>
      </c>
      <c r="C532" s="192" t="s">
        <v>8</v>
      </c>
      <c r="D532" s="193"/>
      <c r="E532" s="194"/>
    </row>
    <row r="533" spans="1:5" ht="12.95" customHeight="1">
      <c r="A533" s="17">
        <v>0</v>
      </c>
      <c r="B533" s="18">
        <f aca="true" t="shared" si="46" ref="B533:B538">(-0.006*A533)+1</f>
        <v>1</v>
      </c>
      <c r="C533" s="19"/>
      <c r="D533" s="19"/>
      <c r="E533" s="20"/>
    </row>
    <row r="534" spans="1:5" ht="12.95" customHeight="1">
      <c r="A534" s="21">
        <v>10</v>
      </c>
      <c r="B534" s="18">
        <f t="shared" si="46"/>
        <v>0.94</v>
      </c>
      <c r="C534" s="85"/>
      <c r="D534" s="19"/>
      <c r="E534" s="20"/>
    </row>
    <row r="535" spans="1:5" ht="12.95" customHeight="1">
      <c r="A535" s="21">
        <v>20</v>
      </c>
      <c r="B535" s="18">
        <f t="shared" si="46"/>
        <v>0.88</v>
      </c>
      <c r="C535" s="85"/>
      <c r="D535" s="19"/>
      <c r="E535" s="20"/>
    </row>
    <row r="536" spans="1:5" ht="12.95" customHeight="1">
      <c r="A536" s="21">
        <v>30</v>
      </c>
      <c r="B536" s="18">
        <f t="shared" si="46"/>
        <v>0.8200000000000001</v>
      </c>
      <c r="C536" s="85"/>
      <c r="D536" s="19"/>
      <c r="E536" s="20"/>
    </row>
    <row r="537" spans="1:5" ht="12.95" customHeight="1">
      <c r="A537" s="21">
        <v>40</v>
      </c>
      <c r="B537" s="18">
        <f t="shared" si="46"/>
        <v>0.76</v>
      </c>
      <c r="C537" s="85"/>
      <c r="D537" s="19"/>
      <c r="E537" s="20"/>
    </row>
    <row r="538" spans="1:5" ht="12.95" customHeight="1">
      <c r="A538" s="21">
        <v>50</v>
      </c>
      <c r="B538" s="18">
        <f t="shared" si="46"/>
        <v>0.7</v>
      </c>
      <c r="C538" s="85"/>
      <c r="D538" s="19"/>
      <c r="E538" s="20"/>
    </row>
    <row r="539" spans="1:5" ht="12.95" customHeight="1">
      <c r="A539" s="60">
        <v>500</v>
      </c>
      <c r="B539" s="54">
        <f aca="true" t="shared" si="47" ref="B539:B548">(-0.0000808*A539)+0.704</f>
        <v>0.6636</v>
      </c>
      <c r="C539" s="85"/>
      <c r="D539" s="19"/>
      <c r="E539" s="20"/>
    </row>
    <row r="540" spans="1:5" ht="12.95" customHeight="1">
      <c r="A540" s="60">
        <v>1000</v>
      </c>
      <c r="B540" s="54">
        <f t="shared" si="47"/>
        <v>0.6232</v>
      </c>
      <c r="C540" s="85"/>
      <c r="D540" s="19"/>
      <c r="E540" s="20"/>
    </row>
    <row r="541" spans="1:5" ht="12.95" customHeight="1">
      <c r="A541" s="60">
        <v>1500</v>
      </c>
      <c r="B541" s="54">
        <f t="shared" si="47"/>
        <v>0.5828</v>
      </c>
      <c r="C541" s="85"/>
      <c r="D541" s="19"/>
      <c r="E541" s="20"/>
    </row>
    <row r="542" spans="1:5" ht="12.95" customHeight="1">
      <c r="A542" s="60">
        <v>2000</v>
      </c>
      <c r="B542" s="54">
        <f t="shared" si="47"/>
        <v>0.5424</v>
      </c>
      <c r="C542" s="85"/>
      <c r="D542" s="19"/>
      <c r="E542" s="20"/>
    </row>
    <row r="543" spans="1:5" ht="12.95" customHeight="1">
      <c r="A543" s="60">
        <v>2500</v>
      </c>
      <c r="B543" s="54">
        <f t="shared" si="47"/>
        <v>0.502</v>
      </c>
      <c r="C543" s="85"/>
      <c r="D543" s="19"/>
      <c r="E543" s="20"/>
    </row>
    <row r="544" spans="1:5" ht="12.95" customHeight="1">
      <c r="A544" s="60">
        <v>3000</v>
      </c>
      <c r="B544" s="54">
        <f t="shared" si="47"/>
        <v>0.46159999999999995</v>
      </c>
      <c r="C544" s="85"/>
      <c r="D544" s="19"/>
      <c r="E544" s="20"/>
    </row>
    <row r="545" spans="1:5" ht="12.95" customHeight="1">
      <c r="A545" s="60">
        <v>3500</v>
      </c>
      <c r="B545" s="54">
        <f t="shared" si="47"/>
        <v>0.42119999999999996</v>
      </c>
      <c r="C545" s="85"/>
      <c r="D545" s="19"/>
      <c r="E545" s="20"/>
    </row>
    <row r="546" spans="1:5" ht="12.95" customHeight="1">
      <c r="A546" s="60">
        <v>4000</v>
      </c>
      <c r="B546" s="54">
        <f t="shared" si="47"/>
        <v>0.38079999999999997</v>
      </c>
      <c r="C546" s="85"/>
      <c r="D546" s="19"/>
      <c r="E546" s="20"/>
    </row>
    <row r="547" spans="1:5" ht="12.95" customHeight="1">
      <c r="A547" s="60">
        <v>4500</v>
      </c>
      <c r="B547" s="54">
        <f t="shared" si="47"/>
        <v>0.3404</v>
      </c>
      <c r="C547" s="85"/>
      <c r="D547" s="19"/>
      <c r="E547" s="20"/>
    </row>
    <row r="548" spans="1:5" ht="12.95" customHeight="1">
      <c r="A548" s="60">
        <v>5000</v>
      </c>
      <c r="B548" s="54">
        <f t="shared" si="47"/>
        <v>0.3</v>
      </c>
      <c r="C548" s="85"/>
      <c r="D548" s="19"/>
      <c r="E548" s="20"/>
    </row>
    <row r="549" spans="1:5" ht="12.95" customHeight="1">
      <c r="A549" s="130">
        <v>10000</v>
      </c>
      <c r="B549" s="131">
        <f>(-0.00000667*A549)+0.333</f>
        <v>0.26630000000000004</v>
      </c>
      <c r="C549" s="85"/>
      <c r="D549" s="19"/>
      <c r="E549" s="20"/>
    </row>
    <row r="550" spans="1:5" ht="12.95" customHeight="1">
      <c r="A550" s="130">
        <v>20000</v>
      </c>
      <c r="B550" s="131">
        <f>(-0.00000667*A550)+0.333</f>
        <v>0.19960000000000003</v>
      </c>
      <c r="C550" s="85"/>
      <c r="D550" s="19"/>
      <c r="E550" s="20"/>
    </row>
    <row r="551" spans="1:5" ht="12.95" customHeight="1">
      <c r="A551" s="130">
        <v>30000</v>
      </c>
      <c r="B551" s="131">
        <f>(-0.00000667*A551)+0.333</f>
        <v>0.13290000000000002</v>
      </c>
      <c r="C551" s="85"/>
      <c r="D551" s="19"/>
      <c r="E551" s="20"/>
    </row>
    <row r="552" spans="1:5" ht="12.95" customHeight="1">
      <c r="A552" s="146">
        <v>40000</v>
      </c>
      <c r="B552" s="131">
        <f>(-0.00000667*A552)+0.333</f>
        <v>0.06620000000000004</v>
      </c>
      <c r="C552" s="85"/>
      <c r="D552" s="19"/>
      <c r="E552" s="20"/>
    </row>
    <row r="553" spans="1:5" ht="12.95" customHeight="1" thickBot="1">
      <c r="A553" s="132">
        <v>50000</v>
      </c>
      <c r="B553" s="133">
        <f>(-0.00000667*A553)+0.333</f>
        <v>-0.0004999999999999449</v>
      </c>
      <c r="C553" s="92"/>
      <c r="D553" s="24"/>
      <c r="E553" s="25"/>
    </row>
    <row r="554" ht="12.95" customHeight="1" thickTop="1"/>
    <row r="555" ht="12.95" customHeight="1" thickBot="1"/>
    <row r="556" spans="1:5" ht="30" customHeight="1" thickTop="1">
      <c r="A556" s="1" t="s">
        <v>7</v>
      </c>
      <c r="B556" s="2">
        <v>98</v>
      </c>
      <c r="C556" s="3" t="s">
        <v>5</v>
      </c>
      <c r="D556" s="4" t="s">
        <v>127</v>
      </c>
      <c r="E556" s="5" t="s">
        <v>44</v>
      </c>
    </row>
    <row r="557" spans="1:5" ht="30" customHeight="1">
      <c r="A557" s="6" t="s">
        <v>2</v>
      </c>
      <c r="B557" s="7" t="s">
        <v>124</v>
      </c>
      <c r="C557" s="8"/>
      <c r="D557" s="53" t="s">
        <v>128</v>
      </c>
      <c r="E557" s="9" t="s">
        <v>129</v>
      </c>
    </row>
    <row r="558" spans="1:5" ht="30" customHeight="1">
      <c r="A558" s="6" t="s">
        <v>10</v>
      </c>
      <c r="B558" s="7"/>
      <c r="C558" s="8"/>
      <c r="D558" s="53" t="s">
        <v>130</v>
      </c>
      <c r="E558" s="9" t="s">
        <v>131</v>
      </c>
    </row>
    <row r="559" spans="1:5" ht="30" customHeight="1" thickBot="1">
      <c r="A559" s="6" t="s">
        <v>3</v>
      </c>
      <c r="B559" s="7" t="s">
        <v>125</v>
      </c>
      <c r="C559" s="83"/>
      <c r="D559" s="55"/>
      <c r="E559" s="57"/>
    </row>
    <row r="560" spans="1:5" ht="30" customHeight="1">
      <c r="A560" s="6" t="s">
        <v>4</v>
      </c>
      <c r="B560" s="7" t="s">
        <v>126</v>
      </c>
      <c r="C560" s="10" t="s">
        <v>6</v>
      </c>
      <c r="D560" s="11">
        <v>50</v>
      </c>
      <c r="E560" s="58"/>
    </row>
    <row r="561" spans="1:5" ht="30" customHeight="1" thickBot="1">
      <c r="A561" s="12" t="s">
        <v>11</v>
      </c>
      <c r="B561" s="37" t="s">
        <v>66</v>
      </c>
      <c r="C561" s="13" t="s">
        <v>0</v>
      </c>
      <c r="D561" s="14">
        <f>IF(D560&lt;0,"valor del indicador fuera de rango",IF(D560&lt;=20,-0.015*D560+1,IF(D560&lt;=2000,-0.000202*D560+0.704,IF(D560&lt;=20000,-0.0000167*D560+0.333,"valor del indicador fuera rango"))))</f>
        <v>0.6939</v>
      </c>
      <c r="E561" s="59"/>
    </row>
    <row r="562" spans="1:5" ht="30" customHeight="1">
      <c r="A562" s="15" t="s">
        <v>9</v>
      </c>
      <c r="B562" s="16" t="s">
        <v>0</v>
      </c>
      <c r="C562" s="192" t="s">
        <v>8</v>
      </c>
      <c r="D562" s="193"/>
      <c r="E562" s="194"/>
    </row>
    <row r="563" spans="1:5" ht="12.95" customHeight="1">
      <c r="A563" s="17">
        <v>0</v>
      </c>
      <c r="B563" s="18">
        <f>(-0.015*A563)+1</f>
        <v>1</v>
      </c>
      <c r="C563" s="19"/>
      <c r="D563" s="19"/>
      <c r="E563" s="20"/>
    </row>
    <row r="564" spans="1:5" ht="12.95" customHeight="1">
      <c r="A564" s="21">
        <v>5</v>
      </c>
      <c r="B564" s="18">
        <f>(-0.015*A564)+1</f>
        <v>0.925</v>
      </c>
      <c r="C564" s="85"/>
      <c r="D564" s="19"/>
      <c r="E564" s="20"/>
    </row>
    <row r="565" spans="1:5" ht="12.95" customHeight="1">
      <c r="A565" s="21">
        <v>10</v>
      </c>
      <c r="B565" s="18">
        <f>(-0.015*A565)+1</f>
        <v>0.85</v>
      </c>
      <c r="C565" s="85"/>
      <c r="D565" s="19"/>
      <c r="E565" s="20"/>
    </row>
    <row r="566" spans="1:5" ht="12.95" customHeight="1">
      <c r="A566" s="21">
        <v>15</v>
      </c>
      <c r="B566" s="18">
        <f>(-0.015*A566)+1</f>
        <v>0.775</v>
      </c>
      <c r="C566" s="85"/>
      <c r="D566" s="19"/>
      <c r="E566" s="20"/>
    </row>
    <row r="567" spans="1:5" ht="12.95" customHeight="1">
      <c r="A567" s="21">
        <v>20</v>
      </c>
      <c r="B567" s="18">
        <f>(-0.015*A567)+1</f>
        <v>0.7</v>
      </c>
      <c r="C567" s="85"/>
      <c r="D567" s="19"/>
      <c r="E567" s="20"/>
    </row>
    <row r="568" spans="1:5" ht="12.95" customHeight="1">
      <c r="A568" s="60">
        <v>50</v>
      </c>
      <c r="B568" s="54">
        <f>(-0.000202*A568)+0.704</f>
        <v>0.6939</v>
      </c>
      <c r="C568" s="85"/>
      <c r="D568" s="19"/>
      <c r="E568" s="20"/>
    </row>
    <row r="569" spans="1:5" ht="12.95" customHeight="1">
      <c r="A569" s="60">
        <f>+A568+200</f>
        <v>250</v>
      </c>
      <c r="B569" s="54">
        <f aca="true" t="shared" si="48" ref="B569:B578">(-0.000202*A569)+0.704</f>
        <v>0.6535</v>
      </c>
      <c r="C569" s="85"/>
      <c r="D569" s="19"/>
      <c r="E569" s="20"/>
    </row>
    <row r="570" spans="1:5" ht="12.95" customHeight="1">
      <c r="A570" s="60">
        <f aca="true" t="shared" si="49" ref="A570:A577">+A569+200</f>
        <v>450</v>
      </c>
      <c r="B570" s="54">
        <f t="shared" si="48"/>
        <v>0.6131</v>
      </c>
      <c r="C570" s="85"/>
      <c r="D570" s="19"/>
      <c r="E570" s="20"/>
    </row>
    <row r="571" spans="1:5" ht="12.95" customHeight="1">
      <c r="A571" s="60">
        <f t="shared" si="49"/>
        <v>650</v>
      </c>
      <c r="B571" s="54">
        <f t="shared" si="48"/>
        <v>0.5727</v>
      </c>
      <c r="C571" s="85"/>
      <c r="D571" s="19"/>
      <c r="E571" s="20"/>
    </row>
    <row r="572" spans="1:5" ht="12.95" customHeight="1">
      <c r="A572" s="60">
        <f t="shared" si="49"/>
        <v>850</v>
      </c>
      <c r="B572" s="54">
        <f t="shared" si="48"/>
        <v>0.5323</v>
      </c>
      <c r="C572" s="85"/>
      <c r="D572" s="19"/>
      <c r="E572" s="20"/>
    </row>
    <row r="573" spans="1:5" ht="12.95" customHeight="1">
      <c r="A573" s="60">
        <f t="shared" si="49"/>
        <v>1050</v>
      </c>
      <c r="B573" s="54">
        <f t="shared" si="48"/>
        <v>0.49189999999999995</v>
      </c>
      <c r="C573" s="85"/>
      <c r="D573" s="19"/>
      <c r="E573" s="20"/>
    </row>
    <row r="574" spans="1:5" ht="12.95" customHeight="1">
      <c r="A574" s="60">
        <f t="shared" si="49"/>
        <v>1250</v>
      </c>
      <c r="B574" s="54">
        <f t="shared" si="48"/>
        <v>0.45149999999999996</v>
      </c>
      <c r="C574" s="85"/>
      <c r="D574" s="19"/>
      <c r="E574" s="20"/>
    </row>
    <row r="575" spans="1:5" ht="12.95" customHeight="1">
      <c r="A575" s="60">
        <f t="shared" si="49"/>
        <v>1450</v>
      </c>
      <c r="B575" s="54">
        <f t="shared" si="48"/>
        <v>0.41109999999999997</v>
      </c>
      <c r="C575" s="85"/>
      <c r="D575" s="19"/>
      <c r="E575" s="20"/>
    </row>
    <row r="576" spans="1:5" ht="12.95" customHeight="1">
      <c r="A576" s="60">
        <f t="shared" si="49"/>
        <v>1650</v>
      </c>
      <c r="B576" s="54">
        <f t="shared" si="48"/>
        <v>0.3707</v>
      </c>
      <c r="C576" s="85"/>
      <c r="D576" s="19"/>
      <c r="E576" s="20"/>
    </row>
    <row r="577" spans="1:5" ht="12.95" customHeight="1">
      <c r="A577" s="60">
        <f t="shared" si="49"/>
        <v>1850</v>
      </c>
      <c r="B577" s="54">
        <f t="shared" si="48"/>
        <v>0.3302999999999999</v>
      </c>
      <c r="C577" s="85"/>
      <c r="D577" s="19"/>
      <c r="E577" s="20"/>
    </row>
    <row r="578" spans="1:5" ht="12.95" customHeight="1">
      <c r="A578" s="60">
        <v>2000</v>
      </c>
      <c r="B578" s="54">
        <f t="shared" si="48"/>
        <v>0.29999999999999993</v>
      </c>
      <c r="C578" s="85"/>
      <c r="D578" s="19"/>
      <c r="E578" s="20"/>
    </row>
    <row r="579" spans="1:5" ht="12.95" customHeight="1">
      <c r="A579" s="130">
        <v>2000</v>
      </c>
      <c r="B579" s="131">
        <f>(-0.0000167*A579)+0.333</f>
        <v>0.29960000000000003</v>
      </c>
      <c r="C579" s="85"/>
      <c r="D579" s="19"/>
      <c r="E579" s="20"/>
    </row>
    <row r="580" spans="1:5" ht="12.95" customHeight="1">
      <c r="A580" s="130">
        <f>+A579+4000</f>
        <v>6000</v>
      </c>
      <c r="B580" s="131">
        <f>(-0.0000167*A580)+0.333</f>
        <v>0.2328</v>
      </c>
      <c r="C580" s="85"/>
      <c r="D580" s="19"/>
      <c r="E580" s="20"/>
    </row>
    <row r="581" spans="1:5" ht="12.95" customHeight="1">
      <c r="A581" s="130">
        <f>+A580+4000</f>
        <v>10000</v>
      </c>
      <c r="B581" s="131">
        <f>(-0.0000167*A581)+0.333</f>
        <v>0.16600000000000004</v>
      </c>
      <c r="C581" s="85"/>
      <c r="D581" s="19"/>
      <c r="E581" s="20"/>
    </row>
    <row r="582" spans="1:5" ht="12.95" customHeight="1">
      <c r="A582" s="130">
        <f>+A581+4000</f>
        <v>14000</v>
      </c>
      <c r="B582" s="131">
        <f>(-0.0000167*A582)+0.333</f>
        <v>0.09920000000000004</v>
      </c>
      <c r="C582" s="85"/>
      <c r="D582" s="19"/>
      <c r="E582" s="20"/>
    </row>
    <row r="583" spans="1:5" ht="12.95" customHeight="1" thickBot="1">
      <c r="A583" s="132">
        <v>20000</v>
      </c>
      <c r="B583" s="133">
        <v>0</v>
      </c>
      <c r="C583" s="92"/>
      <c r="D583" s="24"/>
      <c r="E583" s="25"/>
    </row>
    <row r="584" ht="12.95" customHeight="1" thickTop="1"/>
    <row r="585" ht="12.95" customHeight="1" thickBot="1"/>
    <row r="586" spans="1:5" ht="30" customHeight="1" thickTop="1">
      <c r="A586" s="1" t="s">
        <v>7</v>
      </c>
      <c r="B586" s="2">
        <v>99</v>
      </c>
      <c r="C586" s="3" t="s">
        <v>5</v>
      </c>
      <c r="D586" s="4" t="s">
        <v>127</v>
      </c>
      <c r="E586" s="5" t="s">
        <v>44</v>
      </c>
    </row>
    <row r="587" spans="1:5" ht="30" customHeight="1">
      <c r="A587" s="6" t="s">
        <v>2</v>
      </c>
      <c r="B587" s="7" t="s">
        <v>124</v>
      </c>
      <c r="C587" s="8"/>
      <c r="D587" s="53" t="s">
        <v>132</v>
      </c>
      <c r="E587" s="9" t="s">
        <v>133</v>
      </c>
    </row>
    <row r="588" spans="1:5" ht="30" customHeight="1">
      <c r="A588" s="6" t="s">
        <v>10</v>
      </c>
      <c r="B588" s="7"/>
      <c r="C588" s="8"/>
      <c r="D588" s="53" t="s">
        <v>134</v>
      </c>
      <c r="E588" s="9" t="s">
        <v>135</v>
      </c>
    </row>
    <row r="589" spans="1:5" ht="30" customHeight="1" thickBot="1">
      <c r="A589" s="6" t="s">
        <v>3</v>
      </c>
      <c r="B589" s="7" t="s">
        <v>125</v>
      </c>
      <c r="C589" s="83"/>
      <c r="D589" s="55"/>
      <c r="E589" s="57"/>
    </row>
    <row r="590" spans="1:5" ht="30" customHeight="1">
      <c r="A590" s="6" t="s">
        <v>4</v>
      </c>
      <c r="B590" s="7" t="s">
        <v>136</v>
      </c>
      <c r="C590" s="10" t="s">
        <v>6</v>
      </c>
      <c r="D590" s="11">
        <v>3000</v>
      </c>
      <c r="E590" s="58"/>
    </row>
    <row r="591" spans="1:5" ht="30" customHeight="1" thickBot="1">
      <c r="A591" s="12" t="s">
        <v>11</v>
      </c>
      <c r="B591" s="37" t="s">
        <v>66</v>
      </c>
      <c r="C591" s="13" t="s">
        <v>0</v>
      </c>
      <c r="D591" s="14">
        <f>IF(D590&lt;0,"valor del indicador fuera de rango",IF(D590&lt;=20,-0.015*D590+1,IF(D590&lt;=1000,-0.000408*D590+0.708,IF(D590&lt;=10000,-0.0000333*D590+0.33,"valor del indicador fuera rango"))))</f>
        <v>0.23010000000000003</v>
      </c>
      <c r="E591" s="59"/>
    </row>
    <row r="592" spans="1:5" ht="30" customHeight="1">
      <c r="A592" s="15" t="s">
        <v>9</v>
      </c>
      <c r="B592" s="16" t="s">
        <v>0</v>
      </c>
      <c r="C592" s="192" t="s">
        <v>8</v>
      </c>
      <c r="D592" s="193"/>
      <c r="E592" s="194"/>
    </row>
    <row r="593" spans="1:5" ht="12.95" customHeight="1">
      <c r="A593" s="17">
        <v>0</v>
      </c>
      <c r="B593" s="18">
        <f>(-0.015*A593)+1</f>
        <v>1</v>
      </c>
      <c r="C593" s="19"/>
      <c r="D593" s="19"/>
      <c r="E593" s="20"/>
    </row>
    <row r="594" spans="1:5" ht="12.95" customHeight="1">
      <c r="A594" s="21">
        <v>5</v>
      </c>
      <c r="B594" s="18">
        <f>(-0.015*A594)+1</f>
        <v>0.925</v>
      </c>
      <c r="C594" s="85"/>
      <c r="D594" s="19"/>
      <c r="E594" s="20"/>
    </row>
    <row r="595" spans="1:5" ht="12.95" customHeight="1">
      <c r="A595" s="21">
        <v>10</v>
      </c>
      <c r="B595" s="18">
        <f>(-0.015*A595)+1</f>
        <v>0.85</v>
      </c>
      <c r="C595" s="85"/>
      <c r="D595" s="19"/>
      <c r="E595" s="20"/>
    </row>
    <row r="596" spans="1:5" ht="12.95" customHeight="1">
      <c r="A596" s="21">
        <v>15</v>
      </c>
      <c r="B596" s="18">
        <f>(-0.015*A596)+1</f>
        <v>0.775</v>
      </c>
      <c r="C596" s="85"/>
      <c r="D596" s="19"/>
      <c r="E596" s="20"/>
    </row>
    <row r="597" spans="1:5" ht="12.95" customHeight="1">
      <c r="A597" s="21">
        <v>20</v>
      </c>
      <c r="B597" s="18">
        <f>(-0.015*A597)+1</f>
        <v>0.7</v>
      </c>
      <c r="C597" s="85"/>
      <c r="D597" s="19"/>
      <c r="E597" s="20"/>
    </row>
    <row r="598" spans="1:5" ht="12.95" customHeight="1">
      <c r="A598" s="60">
        <v>50</v>
      </c>
      <c r="B598" s="54">
        <f aca="true" t="shared" si="50" ref="B598:B608">(-0.000408*A598)+0.708</f>
        <v>0.6876</v>
      </c>
      <c r="C598" s="85"/>
      <c r="D598" s="19"/>
      <c r="E598" s="20"/>
    </row>
    <row r="599" spans="1:5" ht="12.95" customHeight="1">
      <c r="A599" s="60">
        <f>+A598+100</f>
        <v>150</v>
      </c>
      <c r="B599" s="54">
        <f t="shared" si="50"/>
        <v>0.6467999999999999</v>
      </c>
      <c r="C599" s="85"/>
      <c r="D599" s="19"/>
      <c r="E599" s="20"/>
    </row>
    <row r="600" spans="1:5" ht="12.95" customHeight="1">
      <c r="A600" s="60">
        <f aca="true" t="shared" si="51" ref="A600:A607">+A599+100</f>
        <v>250</v>
      </c>
      <c r="B600" s="54">
        <f t="shared" si="50"/>
        <v>0.606</v>
      </c>
      <c r="C600" s="85"/>
      <c r="D600" s="19"/>
      <c r="E600" s="20"/>
    </row>
    <row r="601" spans="1:5" ht="12.95" customHeight="1">
      <c r="A601" s="60">
        <f t="shared" si="51"/>
        <v>350</v>
      </c>
      <c r="B601" s="54">
        <f t="shared" si="50"/>
        <v>0.5651999999999999</v>
      </c>
      <c r="C601" s="85"/>
      <c r="D601" s="19"/>
      <c r="E601" s="20"/>
    </row>
    <row r="602" spans="1:5" ht="12.95" customHeight="1">
      <c r="A602" s="60">
        <f t="shared" si="51"/>
        <v>450</v>
      </c>
      <c r="B602" s="54">
        <f t="shared" si="50"/>
        <v>0.5244</v>
      </c>
      <c r="C602" s="85"/>
      <c r="D602" s="19"/>
      <c r="E602" s="20"/>
    </row>
    <row r="603" spans="1:5" ht="12.95" customHeight="1">
      <c r="A603" s="60">
        <f t="shared" si="51"/>
        <v>550</v>
      </c>
      <c r="B603" s="54">
        <f t="shared" si="50"/>
        <v>0.4836</v>
      </c>
      <c r="C603" s="85"/>
      <c r="D603" s="19"/>
      <c r="E603" s="20"/>
    </row>
    <row r="604" spans="1:5" ht="12.95" customHeight="1">
      <c r="A604" s="60">
        <f t="shared" si="51"/>
        <v>650</v>
      </c>
      <c r="B604" s="54">
        <f t="shared" si="50"/>
        <v>0.44279999999999997</v>
      </c>
      <c r="C604" s="85"/>
      <c r="D604" s="19"/>
      <c r="E604" s="20"/>
    </row>
    <row r="605" spans="1:5" ht="12.95" customHeight="1">
      <c r="A605" s="60">
        <f t="shared" si="51"/>
        <v>750</v>
      </c>
      <c r="B605" s="54">
        <f t="shared" si="50"/>
        <v>0.40199999999999997</v>
      </c>
      <c r="C605" s="85"/>
      <c r="D605" s="19"/>
      <c r="E605" s="20"/>
    </row>
    <row r="606" spans="1:5" ht="12.95" customHeight="1">
      <c r="A606" s="60">
        <f t="shared" si="51"/>
        <v>850</v>
      </c>
      <c r="B606" s="54">
        <f t="shared" si="50"/>
        <v>0.36119999999999997</v>
      </c>
      <c r="C606" s="85"/>
      <c r="D606" s="19"/>
      <c r="E606" s="20"/>
    </row>
    <row r="607" spans="1:5" ht="12.95" customHeight="1">
      <c r="A607" s="60">
        <f t="shared" si="51"/>
        <v>950</v>
      </c>
      <c r="B607" s="54">
        <f t="shared" si="50"/>
        <v>0.32039999999999996</v>
      </c>
      <c r="C607" s="85"/>
      <c r="D607" s="19"/>
      <c r="E607" s="20"/>
    </row>
    <row r="608" spans="1:5" ht="12.95" customHeight="1">
      <c r="A608" s="60">
        <v>1000</v>
      </c>
      <c r="B608" s="54">
        <f t="shared" si="50"/>
        <v>0.3</v>
      </c>
      <c r="C608" s="85"/>
      <c r="D608" s="19"/>
      <c r="E608" s="20"/>
    </row>
    <row r="609" spans="1:5" ht="12.95" customHeight="1">
      <c r="A609" s="130">
        <v>2000</v>
      </c>
      <c r="B609" s="131">
        <f>(-0.0000333*A609)+0.33</f>
        <v>0.2634</v>
      </c>
      <c r="C609" s="85"/>
      <c r="D609" s="19"/>
      <c r="E609" s="20"/>
    </row>
    <row r="610" spans="1:5" ht="12.95" customHeight="1">
      <c r="A610" s="130">
        <f>+A609+2000</f>
        <v>4000</v>
      </c>
      <c r="B610" s="131">
        <f>(-0.0000333*A610)+0.33</f>
        <v>0.1968</v>
      </c>
      <c r="C610" s="85"/>
      <c r="D610" s="19"/>
      <c r="E610" s="20"/>
    </row>
    <row r="611" spans="1:5" ht="12.95" customHeight="1">
      <c r="A611" s="130">
        <f>+A610+2000</f>
        <v>6000</v>
      </c>
      <c r="B611" s="131">
        <f>(-0.0000333*A611)+0.33</f>
        <v>0.1302</v>
      </c>
      <c r="C611" s="85"/>
      <c r="D611" s="19"/>
      <c r="E611" s="20"/>
    </row>
    <row r="612" spans="1:5" ht="12.95" customHeight="1">
      <c r="A612" s="130">
        <f>+A611+2000</f>
        <v>8000</v>
      </c>
      <c r="B612" s="131">
        <f>(-0.0000333*A612)+0.33</f>
        <v>0.06359999999999999</v>
      </c>
      <c r="C612" s="85"/>
      <c r="D612" s="19"/>
      <c r="E612" s="20"/>
    </row>
    <row r="613" spans="1:5" ht="12.95" customHeight="1" thickBot="1">
      <c r="A613" s="132">
        <f>+A612+2000</f>
        <v>10000</v>
      </c>
      <c r="B613" s="133">
        <v>0</v>
      </c>
      <c r="C613" s="92"/>
      <c r="D613" s="24"/>
      <c r="E613" s="25"/>
    </row>
    <row r="614" ht="12.95" customHeight="1" thickTop="1"/>
    <row r="615" ht="12.95" customHeight="1" thickBot="1"/>
    <row r="616" spans="1:5" ht="30" customHeight="1" thickTop="1">
      <c r="A616" s="1" t="s">
        <v>7</v>
      </c>
      <c r="B616" s="2">
        <v>100</v>
      </c>
      <c r="C616" s="3" t="s">
        <v>5</v>
      </c>
      <c r="D616" s="148" t="s">
        <v>138</v>
      </c>
      <c r="E616" s="5" t="s">
        <v>83</v>
      </c>
    </row>
    <row r="617" spans="1:5" ht="30" customHeight="1">
      <c r="A617" s="6" t="s">
        <v>2</v>
      </c>
      <c r="B617" s="7" t="s">
        <v>137</v>
      </c>
      <c r="C617" s="8"/>
      <c r="D617" s="53" t="s">
        <v>139</v>
      </c>
      <c r="E617" s="9" t="s">
        <v>140</v>
      </c>
    </row>
    <row r="618" spans="1:5" ht="30" customHeight="1">
      <c r="A618" s="6" t="s">
        <v>10</v>
      </c>
      <c r="B618" s="7"/>
      <c r="C618" s="8"/>
      <c r="D618" s="55"/>
      <c r="E618" s="57"/>
    </row>
    <row r="619" spans="1:5" ht="30" customHeight="1" thickBot="1">
      <c r="A619" s="6" t="s">
        <v>3</v>
      </c>
      <c r="B619" s="7" t="s">
        <v>125</v>
      </c>
      <c r="C619" s="83"/>
      <c r="D619" s="55"/>
      <c r="E619" s="57"/>
    </row>
    <row r="620" spans="1:5" ht="30" customHeight="1">
      <c r="A620" s="6" t="s">
        <v>4</v>
      </c>
      <c r="B620" s="7" t="s">
        <v>141</v>
      </c>
      <c r="C620" s="10" t="s">
        <v>6</v>
      </c>
      <c r="D620" s="11">
        <v>1200</v>
      </c>
      <c r="E620" s="58"/>
    </row>
    <row r="621" spans="1:5" ht="30" customHeight="1" thickBot="1">
      <c r="A621" s="12" t="s">
        <v>11</v>
      </c>
      <c r="B621" s="37" t="s">
        <v>66</v>
      </c>
      <c r="C621" s="13" t="s">
        <v>0</v>
      </c>
      <c r="D621" s="14">
        <f>IF(D620&lt;0,"valor del indicador fuera de rango",IF(D620&lt;=1000,0.0007*D620,IF(D620&lt;=3000,0.000075*D620+0.625,"valor del indicador fuera rango")))</f>
        <v>0.715</v>
      </c>
      <c r="E621" s="59"/>
    </row>
    <row r="622" spans="1:5" ht="30" customHeight="1">
      <c r="A622" s="15" t="s">
        <v>9</v>
      </c>
      <c r="B622" s="16" t="s">
        <v>0</v>
      </c>
      <c r="C622" s="192" t="s">
        <v>8</v>
      </c>
      <c r="D622" s="193"/>
      <c r="E622" s="194"/>
    </row>
    <row r="623" spans="1:5" ht="12.95" customHeight="1">
      <c r="A623" s="17">
        <v>0</v>
      </c>
      <c r="B623" s="18">
        <f aca="true" t="shared" si="52" ref="B623:B633">0.0007*A623</f>
        <v>0</v>
      </c>
      <c r="C623" s="19"/>
      <c r="D623" s="19"/>
      <c r="E623" s="20"/>
    </row>
    <row r="624" spans="1:5" ht="12.95" customHeight="1">
      <c r="A624" s="21">
        <v>100</v>
      </c>
      <c r="B624" s="18">
        <f t="shared" si="52"/>
        <v>0.06999999999999999</v>
      </c>
      <c r="C624" s="85"/>
      <c r="D624" s="19"/>
      <c r="E624" s="20"/>
    </row>
    <row r="625" spans="1:5" ht="12.95" customHeight="1">
      <c r="A625" s="21">
        <v>200</v>
      </c>
      <c r="B625" s="18">
        <f t="shared" si="52"/>
        <v>0.13999999999999999</v>
      </c>
      <c r="C625" s="85"/>
      <c r="D625" s="19"/>
      <c r="E625" s="20"/>
    </row>
    <row r="626" spans="1:5" ht="12.95" customHeight="1">
      <c r="A626" s="21">
        <v>300</v>
      </c>
      <c r="B626" s="18">
        <f t="shared" si="52"/>
        <v>0.21</v>
      </c>
      <c r="C626" s="85"/>
      <c r="D626" s="19"/>
      <c r="E626" s="20"/>
    </row>
    <row r="627" spans="1:5" ht="12.95" customHeight="1">
      <c r="A627" s="21">
        <f>+A626+100</f>
        <v>400</v>
      </c>
      <c r="B627" s="18">
        <f t="shared" si="52"/>
        <v>0.27999999999999997</v>
      </c>
      <c r="C627" s="85"/>
      <c r="D627" s="19"/>
      <c r="E627" s="20"/>
    </row>
    <row r="628" spans="1:5" ht="12.95" customHeight="1">
      <c r="A628" s="21">
        <f aca="true" t="shared" si="53" ref="A628:A633">+A627+100</f>
        <v>500</v>
      </c>
      <c r="B628" s="18">
        <f t="shared" si="52"/>
        <v>0.35</v>
      </c>
      <c r="C628" s="85"/>
      <c r="D628" s="19"/>
      <c r="E628" s="20"/>
    </row>
    <row r="629" spans="1:5" ht="12.95" customHeight="1">
      <c r="A629" s="21">
        <f t="shared" si="53"/>
        <v>600</v>
      </c>
      <c r="B629" s="18">
        <f t="shared" si="52"/>
        <v>0.42</v>
      </c>
      <c r="C629" s="85"/>
      <c r="D629" s="19"/>
      <c r="E629" s="20"/>
    </row>
    <row r="630" spans="1:5" ht="12.95" customHeight="1">
      <c r="A630" s="21">
        <f t="shared" si="53"/>
        <v>700</v>
      </c>
      <c r="B630" s="18">
        <f t="shared" si="52"/>
        <v>0.49</v>
      </c>
      <c r="C630" s="85"/>
      <c r="D630" s="19"/>
      <c r="E630" s="20"/>
    </row>
    <row r="631" spans="1:5" ht="12.95" customHeight="1">
      <c r="A631" s="21">
        <f t="shared" si="53"/>
        <v>800</v>
      </c>
      <c r="B631" s="18">
        <f t="shared" si="52"/>
        <v>0.5599999999999999</v>
      </c>
      <c r="C631" s="85"/>
      <c r="D631" s="19"/>
      <c r="E631" s="20"/>
    </row>
    <row r="632" spans="1:5" ht="12.95" customHeight="1">
      <c r="A632" s="21">
        <f t="shared" si="53"/>
        <v>900</v>
      </c>
      <c r="B632" s="18">
        <f t="shared" si="52"/>
        <v>0.63</v>
      </c>
      <c r="C632" s="85"/>
      <c r="D632" s="19"/>
      <c r="E632" s="20"/>
    </row>
    <row r="633" spans="1:5" ht="12.95" customHeight="1">
      <c r="A633" s="21">
        <f t="shared" si="53"/>
        <v>1000</v>
      </c>
      <c r="B633" s="18">
        <f t="shared" si="52"/>
        <v>0.7</v>
      </c>
      <c r="C633" s="85"/>
      <c r="D633" s="19"/>
      <c r="E633" s="20"/>
    </row>
    <row r="634" spans="1:5" ht="12.95" customHeight="1">
      <c r="A634" s="60">
        <v>1200</v>
      </c>
      <c r="B634" s="54">
        <f aca="true" t="shared" si="54" ref="B634:B643">(0.000075*A634)+0.625</f>
        <v>0.715</v>
      </c>
      <c r="C634" s="85"/>
      <c r="D634" s="19"/>
      <c r="E634" s="20"/>
    </row>
    <row r="635" spans="1:5" ht="12.95" customHeight="1">
      <c r="A635" s="60">
        <f>+A634+200</f>
        <v>1400</v>
      </c>
      <c r="B635" s="54">
        <f t="shared" si="54"/>
        <v>0.73</v>
      </c>
      <c r="C635" s="85"/>
      <c r="D635" s="19"/>
      <c r="E635" s="20"/>
    </row>
    <row r="636" spans="1:5" ht="12.95" customHeight="1">
      <c r="A636" s="60">
        <f aca="true" t="shared" si="55" ref="A636:A643">+A635+200</f>
        <v>1600</v>
      </c>
      <c r="B636" s="54">
        <f t="shared" si="54"/>
        <v>0.745</v>
      </c>
      <c r="C636" s="85"/>
      <c r="D636" s="19"/>
      <c r="E636" s="20"/>
    </row>
    <row r="637" spans="1:5" ht="12.95" customHeight="1">
      <c r="A637" s="60">
        <f t="shared" si="55"/>
        <v>1800</v>
      </c>
      <c r="B637" s="54">
        <f t="shared" si="54"/>
        <v>0.76</v>
      </c>
      <c r="C637" s="85"/>
      <c r="D637" s="19"/>
      <c r="E637" s="20"/>
    </row>
    <row r="638" spans="1:5" ht="12.95" customHeight="1">
      <c r="A638" s="60">
        <f t="shared" si="55"/>
        <v>2000</v>
      </c>
      <c r="B638" s="54">
        <f t="shared" si="54"/>
        <v>0.775</v>
      </c>
      <c r="C638" s="85"/>
      <c r="D638" s="19"/>
      <c r="E638" s="20"/>
    </row>
    <row r="639" spans="1:5" ht="12.95" customHeight="1">
      <c r="A639" s="60">
        <f t="shared" si="55"/>
        <v>2200</v>
      </c>
      <c r="B639" s="54">
        <f t="shared" si="54"/>
        <v>0.79</v>
      </c>
      <c r="C639" s="85"/>
      <c r="D639" s="19"/>
      <c r="E639" s="20"/>
    </row>
    <row r="640" spans="1:5" ht="12.95" customHeight="1">
      <c r="A640" s="60">
        <f t="shared" si="55"/>
        <v>2400</v>
      </c>
      <c r="B640" s="54">
        <f t="shared" si="54"/>
        <v>0.8049999999999999</v>
      </c>
      <c r="C640" s="85"/>
      <c r="D640" s="19"/>
      <c r="E640" s="20"/>
    </row>
    <row r="641" spans="1:5" ht="12.95" customHeight="1">
      <c r="A641" s="60">
        <f t="shared" si="55"/>
        <v>2600</v>
      </c>
      <c r="B641" s="54">
        <f t="shared" si="54"/>
        <v>0.82</v>
      </c>
      <c r="C641" s="85"/>
      <c r="D641" s="19"/>
      <c r="E641" s="20"/>
    </row>
    <row r="642" spans="1:5" ht="12.95" customHeight="1">
      <c r="A642" s="60">
        <f t="shared" si="55"/>
        <v>2800</v>
      </c>
      <c r="B642" s="54">
        <f t="shared" si="54"/>
        <v>0.835</v>
      </c>
      <c r="C642" s="85"/>
      <c r="D642" s="19"/>
      <c r="E642" s="20"/>
    </row>
    <row r="643" spans="1:5" ht="12.95" customHeight="1" thickBot="1">
      <c r="A643" s="81">
        <f t="shared" si="55"/>
        <v>3000</v>
      </c>
      <c r="B643" s="91">
        <f t="shared" si="54"/>
        <v>0.85</v>
      </c>
      <c r="C643" s="92"/>
      <c r="D643" s="24"/>
      <c r="E643" s="25"/>
    </row>
    <row r="644" ht="12.95" customHeight="1" thickTop="1"/>
    <row r="645" ht="12.95" customHeight="1" thickBot="1"/>
    <row r="646" spans="1:5" ht="30" customHeight="1" thickTop="1">
      <c r="A646" s="1" t="s">
        <v>7</v>
      </c>
      <c r="B646" s="2">
        <v>101</v>
      </c>
      <c r="C646" s="3" t="s">
        <v>5</v>
      </c>
      <c r="D646" s="4" t="s">
        <v>144</v>
      </c>
      <c r="E646" s="5" t="s">
        <v>145</v>
      </c>
    </row>
    <row r="647" spans="1:5" ht="30" customHeight="1">
      <c r="A647" s="6" t="s">
        <v>2</v>
      </c>
      <c r="B647" s="7" t="s">
        <v>142</v>
      </c>
      <c r="C647" s="8"/>
      <c r="D647" s="53" t="s">
        <v>146</v>
      </c>
      <c r="E647" s="9" t="s">
        <v>34</v>
      </c>
    </row>
    <row r="648" spans="1:5" ht="30" customHeight="1">
      <c r="A648" s="6" t="s">
        <v>10</v>
      </c>
      <c r="B648" s="7"/>
      <c r="C648" s="8"/>
      <c r="D648" s="55"/>
      <c r="E648" s="9"/>
    </row>
    <row r="649" spans="1:5" ht="30" customHeight="1" thickBot="1">
      <c r="A649" s="6" t="s">
        <v>3</v>
      </c>
      <c r="B649" s="7" t="s">
        <v>148</v>
      </c>
      <c r="C649" s="83"/>
      <c r="D649" s="56"/>
      <c r="E649" s="57"/>
    </row>
    <row r="650" spans="1:5" ht="30" customHeight="1">
      <c r="A650" s="6" t="s">
        <v>4</v>
      </c>
      <c r="B650" s="7" t="s">
        <v>147</v>
      </c>
      <c r="C650" s="10" t="s">
        <v>6</v>
      </c>
      <c r="D650" s="11">
        <v>0.05</v>
      </c>
      <c r="E650" s="58"/>
    </row>
    <row r="651" spans="1:5" ht="30" customHeight="1" thickBot="1">
      <c r="A651" s="12" t="s">
        <v>11</v>
      </c>
      <c r="B651" s="84" t="s">
        <v>66</v>
      </c>
      <c r="C651" s="13" t="s">
        <v>0</v>
      </c>
      <c r="D651" s="14">
        <f>IF(D650&lt;0,"valor del indicador fuera de rango",IF(D650&lt;=0.2,(-1.5*D650)+1,IF(D650&lt;=0.5,(-2.33*(D650))+1.17,"valor del indicador fuera rango")))</f>
        <v>0.925</v>
      </c>
      <c r="E651" s="59"/>
    </row>
    <row r="652" spans="1:5" ht="30" customHeight="1">
      <c r="A652" s="15" t="s">
        <v>9</v>
      </c>
      <c r="B652" s="16" t="s">
        <v>0</v>
      </c>
      <c r="C652" s="192" t="s">
        <v>8</v>
      </c>
      <c r="D652" s="193"/>
      <c r="E652" s="194"/>
    </row>
    <row r="653" spans="1:5" ht="12.95" customHeight="1">
      <c r="A653" s="141">
        <v>0</v>
      </c>
      <c r="B653" s="18">
        <f aca="true" t="shared" si="56" ref="B653:B661">-1.5*(A653)+1</f>
        <v>1</v>
      </c>
      <c r="C653" s="19"/>
      <c r="D653" s="19"/>
      <c r="E653" s="20"/>
    </row>
    <row r="654" spans="1:5" ht="12.95" customHeight="1">
      <c r="A654" s="142">
        <f>+A653+0.025</f>
        <v>0.025</v>
      </c>
      <c r="B654" s="18">
        <f t="shared" si="56"/>
        <v>0.9625</v>
      </c>
      <c r="C654" s="85"/>
      <c r="D654" s="19"/>
      <c r="E654" s="20"/>
    </row>
    <row r="655" spans="1:5" ht="12.95" customHeight="1">
      <c r="A655" s="142">
        <f aca="true" t="shared" si="57" ref="A655:A673">+A654+0.025</f>
        <v>0.05</v>
      </c>
      <c r="B655" s="18">
        <f t="shared" si="56"/>
        <v>0.925</v>
      </c>
      <c r="C655" s="85"/>
      <c r="D655" s="19"/>
      <c r="E655" s="20"/>
    </row>
    <row r="656" spans="1:5" ht="12.95" customHeight="1">
      <c r="A656" s="142">
        <f t="shared" si="57"/>
        <v>0.07500000000000001</v>
      </c>
      <c r="B656" s="18">
        <f t="shared" si="56"/>
        <v>0.8875</v>
      </c>
      <c r="C656" s="85"/>
      <c r="D656" s="19"/>
      <c r="E656" s="20"/>
    </row>
    <row r="657" spans="1:5" ht="12.95" customHeight="1">
      <c r="A657" s="142">
        <f t="shared" si="57"/>
        <v>0.1</v>
      </c>
      <c r="B657" s="18">
        <f t="shared" si="56"/>
        <v>0.85</v>
      </c>
      <c r="C657" s="85"/>
      <c r="D657" s="19"/>
      <c r="E657" s="20"/>
    </row>
    <row r="658" spans="1:5" ht="12.95" customHeight="1">
      <c r="A658" s="142">
        <f t="shared" si="57"/>
        <v>0.125</v>
      </c>
      <c r="B658" s="18">
        <f t="shared" si="56"/>
        <v>0.8125</v>
      </c>
      <c r="C658" s="85"/>
      <c r="D658" s="19"/>
      <c r="E658" s="20"/>
    </row>
    <row r="659" spans="1:5" ht="12.95" customHeight="1">
      <c r="A659" s="142">
        <f t="shared" si="57"/>
        <v>0.15</v>
      </c>
      <c r="B659" s="18">
        <f t="shared" si="56"/>
        <v>0.775</v>
      </c>
      <c r="C659" s="85"/>
      <c r="D659" s="19"/>
      <c r="E659" s="20"/>
    </row>
    <row r="660" spans="1:5" ht="12.95" customHeight="1">
      <c r="A660" s="142">
        <f t="shared" si="57"/>
        <v>0.175</v>
      </c>
      <c r="B660" s="18">
        <f t="shared" si="56"/>
        <v>0.7375</v>
      </c>
      <c r="C660" s="85"/>
      <c r="D660" s="19"/>
      <c r="E660" s="20"/>
    </row>
    <row r="661" spans="1:5" ht="12.95" customHeight="1">
      <c r="A661" s="142">
        <f t="shared" si="57"/>
        <v>0.19999999999999998</v>
      </c>
      <c r="B661" s="18">
        <f t="shared" si="56"/>
        <v>0.7</v>
      </c>
      <c r="C661" s="85"/>
      <c r="D661" s="19"/>
      <c r="E661" s="20"/>
    </row>
    <row r="662" spans="1:5" ht="12.95" customHeight="1">
      <c r="A662" s="143">
        <f t="shared" si="57"/>
        <v>0.22499999999999998</v>
      </c>
      <c r="B662" s="54">
        <f aca="true" t="shared" si="58" ref="B662:B673">-2.33*A662+1.17</f>
        <v>0.6457499999999999</v>
      </c>
      <c r="C662" s="85"/>
      <c r="D662" s="19"/>
      <c r="E662" s="20"/>
    </row>
    <row r="663" spans="1:5" ht="12.95" customHeight="1">
      <c r="A663" s="143">
        <f t="shared" si="57"/>
        <v>0.24999999999999997</v>
      </c>
      <c r="B663" s="54">
        <f t="shared" si="58"/>
        <v>0.5875</v>
      </c>
      <c r="C663" s="85"/>
      <c r="D663" s="19"/>
      <c r="E663" s="20"/>
    </row>
    <row r="664" spans="1:5" ht="12.95" customHeight="1">
      <c r="A664" s="143">
        <f t="shared" si="57"/>
        <v>0.27499999999999997</v>
      </c>
      <c r="B664" s="54">
        <f t="shared" si="58"/>
        <v>0.52925</v>
      </c>
      <c r="C664" s="85"/>
      <c r="D664" s="19"/>
      <c r="E664" s="20"/>
    </row>
    <row r="665" spans="1:5" ht="12.95" customHeight="1">
      <c r="A665" s="143">
        <f t="shared" si="57"/>
        <v>0.3</v>
      </c>
      <c r="B665" s="54">
        <f t="shared" si="58"/>
        <v>0.471</v>
      </c>
      <c r="C665" s="85"/>
      <c r="D665" s="19"/>
      <c r="E665" s="20"/>
    </row>
    <row r="666" spans="1:5" ht="12.95" customHeight="1">
      <c r="A666" s="143">
        <f t="shared" si="57"/>
        <v>0.325</v>
      </c>
      <c r="B666" s="54">
        <f t="shared" si="58"/>
        <v>0.41274999999999984</v>
      </c>
      <c r="C666" s="85"/>
      <c r="D666" s="19"/>
      <c r="E666" s="20"/>
    </row>
    <row r="667" spans="1:5" ht="12.95" customHeight="1">
      <c r="A667" s="143">
        <f t="shared" si="57"/>
        <v>0.35000000000000003</v>
      </c>
      <c r="B667" s="54">
        <f t="shared" si="58"/>
        <v>0.3544999999999998</v>
      </c>
      <c r="C667" s="85"/>
      <c r="D667" s="19"/>
      <c r="E667" s="20"/>
    </row>
    <row r="668" spans="1:5" ht="12.95" customHeight="1">
      <c r="A668" s="143">
        <f t="shared" si="57"/>
        <v>0.37500000000000006</v>
      </c>
      <c r="B668" s="54">
        <f t="shared" si="58"/>
        <v>0.2962499999999998</v>
      </c>
      <c r="C668" s="85"/>
      <c r="D668" s="19"/>
      <c r="E668" s="20"/>
    </row>
    <row r="669" spans="1:5" ht="12.95" customHeight="1">
      <c r="A669" s="143">
        <f t="shared" si="57"/>
        <v>0.4000000000000001</v>
      </c>
      <c r="B669" s="54">
        <f t="shared" si="58"/>
        <v>0.23799999999999977</v>
      </c>
      <c r="C669" s="85"/>
      <c r="D669" s="19"/>
      <c r="E669" s="20"/>
    </row>
    <row r="670" spans="1:5" ht="12.95" customHeight="1">
      <c r="A670" s="143">
        <f t="shared" si="57"/>
        <v>0.4250000000000001</v>
      </c>
      <c r="B670" s="54">
        <f t="shared" si="58"/>
        <v>0.17974999999999963</v>
      </c>
      <c r="C670" s="85"/>
      <c r="D670" s="19"/>
      <c r="E670" s="20"/>
    </row>
    <row r="671" spans="1:5" ht="12.95" customHeight="1">
      <c r="A671" s="143">
        <f t="shared" si="57"/>
        <v>0.4500000000000001</v>
      </c>
      <c r="B671" s="54">
        <f t="shared" si="58"/>
        <v>0.12149999999999972</v>
      </c>
      <c r="C671" s="85"/>
      <c r="D671" s="19"/>
      <c r="E671" s="20"/>
    </row>
    <row r="672" spans="1:5" ht="12.95" customHeight="1">
      <c r="A672" s="143">
        <f t="shared" si="57"/>
        <v>0.47500000000000014</v>
      </c>
      <c r="B672" s="54">
        <f t="shared" si="58"/>
        <v>0.06324999999999958</v>
      </c>
      <c r="C672" s="85"/>
      <c r="D672" s="19"/>
      <c r="E672" s="20"/>
    </row>
    <row r="673" spans="1:5" ht="12.95" customHeight="1" thickBot="1">
      <c r="A673" s="149">
        <f t="shared" si="57"/>
        <v>0.5000000000000001</v>
      </c>
      <c r="B673" s="91">
        <f t="shared" si="58"/>
        <v>0.004999999999999671</v>
      </c>
      <c r="C673" s="92"/>
      <c r="D673" s="24"/>
      <c r="E673" s="25"/>
    </row>
    <row r="674" ht="12.95" customHeight="1" thickTop="1"/>
    <row r="675" ht="12.95" customHeight="1" thickBot="1"/>
    <row r="676" spans="1:5" ht="30" customHeight="1" thickTop="1">
      <c r="A676" s="1" t="s">
        <v>7</v>
      </c>
      <c r="B676" s="2">
        <v>102</v>
      </c>
      <c r="C676" s="3" t="s">
        <v>5</v>
      </c>
      <c r="D676" s="4" t="s">
        <v>151</v>
      </c>
      <c r="E676" s="5" t="s">
        <v>74</v>
      </c>
    </row>
    <row r="677" spans="1:5" ht="30" customHeight="1">
      <c r="A677" s="6" t="s">
        <v>2</v>
      </c>
      <c r="B677" s="7" t="s">
        <v>149</v>
      </c>
      <c r="C677" s="8"/>
      <c r="D677" s="53" t="s">
        <v>152</v>
      </c>
      <c r="E677" s="9" t="s">
        <v>153</v>
      </c>
    </row>
    <row r="678" spans="1:5" ht="30" customHeight="1">
      <c r="A678" s="6" t="s">
        <v>10</v>
      </c>
      <c r="B678" s="7"/>
      <c r="C678" s="8"/>
      <c r="D678" s="55" t="s">
        <v>154</v>
      </c>
      <c r="E678" s="9" t="s">
        <v>155</v>
      </c>
    </row>
    <row r="679" spans="1:5" ht="30" customHeight="1" thickBot="1">
      <c r="A679" s="6" t="s">
        <v>3</v>
      </c>
      <c r="B679" s="7" t="s">
        <v>156</v>
      </c>
      <c r="C679" s="83"/>
      <c r="D679" s="56"/>
      <c r="E679" s="57"/>
    </row>
    <row r="680" spans="1:5" ht="30" customHeight="1">
      <c r="A680" s="6" t="s">
        <v>4</v>
      </c>
      <c r="B680" s="7" t="s">
        <v>150</v>
      </c>
      <c r="C680" s="10" t="s">
        <v>6</v>
      </c>
      <c r="D680" s="11">
        <v>2.5</v>
      </c>
      <c r="E680" s="58"/>
    </row>
    <row r="681" spans="1:5" ht="30" customHeight="1" thickBot="1">
      <c r="A681" s="12" t="s">
        <v>11</v>
      </c>
      <c r="B681" s="84" t="s">
        <v>66</v>
      </c>
      <c r="C681" s="13" t="s">
        <v>0</v>
      </c>
      <c r="D681" s="14">
        <f>IF(D680&lt;0,"valor del indicador fuera de rango",IF(D680&lt;1,-0.3*(D680)+1,IF(D680&lt;=2,-0.4*(D680)+1.1,IF(D680&lt;=3,-0.3*(D680)+0.9,"valor fuera de rango"))))</f>
        <v>0.15000000000000002</v>
      </c>
      <c r="E681" s="59"/>
    </row>
    <row r="682" spans="1:5" ht="30" customHeight="1">
      <c r="A682" s="15" t="s">
        <v>9</v>
      </c>
      <c r="B682" s="16" t="s">
        <v>0</v>
      </c>
      <c r="C682" s="192" t="s">
        <v>8</v>
      </c>
      <c r="D682" s="193"/>
      <c r="E682" s="194"/>
    </row>
    <row r="683" spans="1:5" ht="12.95" customHeight="1">
      <c r="A683" s="141">
        <v>0</v>
      </c>
      <c r="B683" s="18">
        <f aca="true" t="shared" si="59" ref="B683:B689">-0.3*(A683)+1</f>
        <v>1</v>
      </c>
      <c r="C683" s="19"/>
      <c r="D683" s="19"/>
      <c r="E683" s="20"/>
    </row>
    <row r="684" spans="1:5" ht="12.95" customHeight="1">
      <c r="A684" s="142">
        <f>+A683+0.15</f>
        <v>0.15</v>
      </c>
      <c r="B684" s="18">
        <f t="shared" si="59"/>
        <v>0.955</v>
      </c>
      <c r="C684" s="85"/>
      <c r="D684" s="19"/>
      <c r="E684" s="20"/>
    </row>
    <row r="685" spans="1:5" ht="12.95" customHeight="1">
      <c r="A685" s="142">
        <f aca="true" t="shared" si="60" ref="A685:A703">+A684+0.15</f>
        <v>0.3</v>
      </c>
      <c r="B685" s="18">
        <f t="shared" si="59"/>
        <v>0.91</v>
      </c>
      <c r="C685" s="85"/>
      <c r="D685" s="19"/>
      <c r="E685" s="20"/>
    </row>
    <row r="686" spans="1:5" ht="12.95" customHeight="1">
      <c r="A686" s="142">
        <f t="shared" si="60"/>
        <v>0.44999999999999996</v>
      </c>
      <c r="B686" s="18">
        <f t="shared" si="59"/>
        <v>0.865</v>
      </c>
      <c r="C686" s="85"/>
      <c r="D686" s="19"/>
      <c r="E686" s="20"/>
    </row>
    <row r="687" spans="1:5" ht="12.95" customHeight="1">
      <c r="A687" s="142">
        <f t="shared" si="60"/>
        <v>0.6</v>
      </c>
      <c r="B687" s="18">
        <f t="shared" si="59"/>
        <v>0.8200000000000001</v>
      </c>
      <c r="C687" s="85"/>
      <c r="D687" s="19"/>
      <c r="E687" s="20"/>
    </row>
    <row r="688" spans="1:5" ht="12.95" customHeight="1">
      <c r="A688" s="142">
        <f t="shared" si="60"/>
        <v>0.75</v>
      </c>
      <c r="B688" s="18">
        <f t="shared" si="59"/>
        <v>0.775</v>
      </c>
      <c r="C688" s="85"/>
      <c r="D688" s="19"/>
      <c r="E688" s="20"/>
    </row>
    <row r="689" spans="1:5" ht="12.95" customHeight="1">
      <c r="A689" s="142">
        <f t="shared" si="60"/>
        <v>0.9</v>
      </c>
      <c r="B689" s="18">
        <f t="shared" si="59"/>
        <v>0.73</v>
      </c>
      <c r="C689" s="85"/>
      <c r="D689" s="19"/>
      <c r="E689" s="20"/>
    </row>
    <row r="690" spans="1:5" ht="12.95" customHeight="1">
      <c r="A690" s="143">
        <f t="shared" si="60"/>
        <v>1.05</v>
      </c>
      <c r="B690" s="54">
        <f aca="true" t="shared" si="61" ref="B690:B696">-0.4*A690+1.1</f>
        <v>0.68</v>
      </c>
      <c r="C690" s="85"/>
      <c r="D690" s="19"/>
      <c r="E690" s="20"/>
    </row>
    <row r="691" spans="1:5" ht="12.95" customHeight="1">
      <c r="A691" s="143">
        <f t="shared" si="60"/>
        <v>1.2</v>
      </c>
      <c r="B691" s="54">
        <f t="shared" si="61"/>
        <v>0.6200000000000001</v>
      </c>
      <c r="C691" s="85"/>
      <c r="D691" s="19"/>
      <c r="E691" s="20"/>
    </row>
    <row r="692" spans="1:5" ht="12.95" customHeight="1">
      <c r="A692" s="143">
        <f t="shared" si="60"/>
        <v>1.3499999999999999</v>
      </c>
      <c r="B692" s="54">
        <f t="shared" si="61"/>
        <v>0.5600000000000002</v>
      </c>
      <c r="C692" s="85"/>
      <c r="D692" s="19"/>
      <c r="E692" s="20"/>
    </row>
    <row r="693" spans="1:5" ht="12.95" customHeight="1">
      <c r="A693" s="143">
        <f t="shared" si="60"/>
        <v>1.4999999999999998</v>
      </c>
      <c r="B693" s="54">
        <f t="shared" si="61"/>
        <v>0.5000000000000001</v>
      </c>
      <c r="C693" s="85"/>
      <c r="D693" s="19"/>
      <c r="E693" s="20"/>
    </row>
    <row r="694" spans="1:5" ht="12.95" customHeight="1">
      <c r="A694" s="143">
        <f t="shared" si="60"/>
        <v>1.6499999999999997</v>
      </c>
      <c r="B694" s="54">
        <f t="shared" si="61"/>
        <v>0.44000000000000017</v>
      </c>
      <c r="C694" s="85"/>
      <c r="D694" s="19"/>
      <c r="E694" s="20"/>
    </row>
    <row r="695" spans="1:5" ht="12.95" customHeight="1">
      <c r="A695" s="143">
        <f t="shared" si="60"/>
        <v>1.7999999999999996</v>
      </c>
      <c r="B695" s="54">
        <f t="shared" si="61"/>
        <v>0.3800000000000002</v>
      </c>
      <c r="C695" s="85"/>
      <c r="D695" s="19"/>
      <c r="E695" s="20"/>
    </row>
    <row r="696" spans="1:5" ht="12.95" customHeight="1">
      <c r="A696" s="143">
        <f t="shared" si="60"/>
        <v>1.9499999999999995</v>
      </c>
      <c r="B696" s="54">
        <f t="shared" si="61"/>
        <v>0.3200000000000003</v>
      </c>
      <c r="C696" s="85"/>
      <c r="D696" s="19"/>
      <c r="E696" s="20"/>
    </row>
    <row r="697" spans="1:5" ht="12.95" customHeight="1">
      <c r="A697" s="144">
        <f t="shared" si="60"/>
        <v>2.0999999999999996</v>
      </c>
      <c r="B697" s="131">
        <f aca="true" t="shared" si="62" ref="B697:B703">-0.3*A697+0.9</f>
        <v>0.27000000000000013</v>
      </c>
      <c r="C697" s="85"/>
      <c r="D697" s="19"/>
      <c r="E697" s="20"/>
    </row>
    <row r="698" spans="1:5" ht="12.95" customHeight="1">
      <c r="A698" s="144">
        <f t="shared" si="60"/>
        <v>2.2499999999999996</v>
      </c>
      <c r="B698" s="131">
        <f t="shared" si="62"/>
        <v>0.2250000000000002</v>
      </c>
      <c r="C698" s="85"/>
      <c r="D698" s="19"/>
      <c r="E698" s="20"/>
    </row>
    <row r="699" spans="1:5" ht="12.95" customHeight="1">
      <c r="A699" s="144">
        <f t="shared" si="60"/>
        <v>2.3999999999999995</v>
      </c>
      <c r="B699" s="131">
        <f t="shared" si="62"/>
        <v>0.18000000000000016</v>
      </c>
      <c r="C699" s="85"/>
      <c r="D699" s="19"/>
      <c r="E699" s="20"/>
    </row>
    <row r="700" spans="1:5" ht="12.95" customHeight="1">
      <c r="A700" s="144">
        <f t="shared" si="60"/>
        <v>2.5499999999999994</v>
      </c>
      <c r="B700" s="131">
        <f t="shared" si="62"/>
        <v>0.13500000000000023</v>
      </c>
      <c r="C700" s="85"/>
      <c r="D700" s="19"/>
      <c r="E700" s="20"/>
    </row>
    <row r="701" spans="1:5" ht="12.95" customHeight="1">
      <c r="A701" s="144">
        <f t="shared" si="60"/>
        <v>2.6999999999999993</v>
      </c>
      <c r="B701" s="131">
        <f t="shared" si="62"/>
        <v>0.0900000000000003</v>
      </c>
      <c r="C701" s="85"/>
      <c r="D701" s="19"/>
      <c r="E701" s="20"/>
    </row>
    <row r="702" spans="1:5" ht="12.95" customHeight="1">
      <c r="A702" s="144">
        <f t="shared" si="60"/>
        <v>2.849999999999999</v>
      </c>
      <c r="B702" s="131">
        <f t="shared" si="62"/>
        <v>0.04500000000000026</v>
      </c>
      <c r="C702" s="85"/>
      <c r="D702" s="19"/>
      <c r="E702" s="20"/>
    </row>
    <row r="703" spans="1:5" ht="12.95" customHeight="1" thickBot="1">
      <c r="A703" s="145">
        <f t="shared" si="60"/>
        <v>2.999999999999999</v>
      </c>
      <c r="B703" s="133">
        <f t="shared" si="62"/>
        <v>0</v>
      </c>
      <c r="C703" s="92"/>
      <c r="D703" s="24"/>
      <c r="E703" s="25"/>
    </row>
    <row r="704" ht="12.95" customHeight="1" thickTop="1"/>
    <row r="705" ht="12.95" customHeight="1" thickBot="1"/>
    <row r="706" spans="1:5" ht="30" customHeight="1" thickTop="1">
      <c r="A706" s="1" t="s">
        <v>7</v>
      </c>
      <c r="B706" s="2">
        <v>103</v>
      </c>
      <c r="C706" s="3" t="s">
        <v>5</v>
      </c>
      <c r="D706" s="4" t="s">
        <v>158</v>
      </c>
      <c r="E706" s="5" t="s">
        <v>159</v>
      </c>
    </row>
    <row r="707" spans="1:5" ht="30" customHeight="1">
      <c r="A707" s="6" t="s">
        <v>2</v>
      </c>
      <c r="B707" s="7" t="s">
        <v>157</v>
      </c>
      <c r="C707" s="8"/>
      <c r="D707" s="53" t="s">
        <v>160</v>
      </c>
      <c r="E707" s="9" t="s">
        <v>161</v>
      </c>
    </row>
    <row r="708" spans="1:5" ht="30" customHeight="1">
      <c r="A708" s="6" t="s">
        <v>10</v>
      </c>
      <c r="B708" s="7"/>
      <c r="C708" s="8"/>
      <c r="D708" s="55" t="s">
        <v>162</v>
      </c>
      <c r="E708" s="9" t="s">
        <v>163</v>
      </c>
    </row>
    <row r="709" spans="1:5" ht="30" customHeight="1" thickBot="1">
      <c r="A709" s="6" t="s">
        <v>3</v>
      </c>
      <c r="B709" s="7" t="s">
        <v>164</v>
      </c>
      <c r="C709" s="83"/>
      <c r="D709" s="56"/>
      <c r="E709" s="57"/>
    </row>
    <row r="710" spans="1:5" ht="30" customHeight="1">
      <c r="A710" s="6" t="s">
        <v>4</v>
      </c>
      <c r="B710" s="7" t="s">
        <v>165</v>
      </c>
      <c r="C710" s="10" t="s">
        <v>6</v>
      </c>
      <c r="D710" s="11">
        <v>1.3</v>
      </c>
      <c r="E710" s="58"/>
    </row>
    <row r="711" spans="1:5" ht="30" customHeight="1" thickBot="1">
      <c r="A711" s="12" t="s">
        <v>11</v>
      </c>
      <c r="B711" s="84" t="s">
        <v>66</v>
      </c>
      <c r="C711" s="13" t="s">
        <v>0</v>
      </c>
      <c r="D711" s="14">
        <f>IF(D710&lt;0,"valor del indicador fuera de rango",IF(D710&lt;=0.05,-6*(D710)+1,IF(D710&lt;=1.5,-0.276*(D710)+0.714,IF(D710&lt;=4,-0.12*(D710)+0.48,"valor fuera de rango"))))</f>
        <v>0.3551999999999999</v>
      </c>
      <c r="E711" s="59"/>
    </row>
    <row r="712" spans="1:5" ht="30" customHeight="1">
      <c r="A712" s="15" t="s">
        <v>9</v>
      </c>
      <c r="B712" s="16" t="s">
        <v>0</v>
      </c>
      <c r="C712" s="192" t="s">
        <v>8</v>
      </c>
      <c r="D712" s="193"/>
      <c r="E712" s="194"/>
    </row>
    <row r="713" spans="1:5" ht="12.95" customHeight="1">
      <c r="A713" s="141">
        <v>0</v>
      </c>
      <c r="B713" s="18">
        <f aca="true" t="shared" si="63" ref="B713:B718">-6*(A713)+1</f>
        <v>1</v>
      </c>
      <c r="C713" s="19"/>
      <c r="D713" s="19"/>
      <c r="E713" s="20"/>
    </row>
    <row r="714" spans="1:5" ht="12.95" customHeight="1">
      <c r="A714" s="142">
        <f>+A713+0.01</f>
        <v>0.01</v>
      </c>
      <c r="B714" s="18">
        <f t="shared" si="63"/>
        <v>0.94</v>
      </c>
      <c r="C714" s="85"/>
      <c r="D714" s="19"/>
      <c r="E714" s="20"/>
    </row>
    <row r="715" spans="1:5" ht="12.95" customHeight="1">
      <c r="A715" s="142">
        <f>+A714+0.01</f>
        <v>0.02</v>
      </c>
      <c r="B715" s="18">
        <f t="shared" si="63"/>
        <v>0.88</v>
      </c>
      <c r="C715" s="85"/>
      <c r="D715" s="19"/>
      <c r="E715" s="20"/>
    </row>
    <row r="716" spans="1:5" ht="12.95" customHeight="1">
      <c r="A716" s="142">
        <f>+A715+0.01</f>
        <v>0.03</v>
      </c>
      <c r="B716" s="18">
        <f t="shared" si="63"/>
        <v>0.8200000000000001</v>
      </c>
      <c r="C716" s="85"/>
      <c r="D716" s="19"/>
      <c r="E716" s="20"/>
    </row>
    <row r="717" spans="1:5" ht="12.95" customHeight="1">
      <c r="A717" s="142">
        <f>+A716+0.01</f>
        <v>0.04</v>
      </c>
      <c r="B717" s="18">
        <f t="shared" si="63"/>
        <v>0.76</v>
      </c>
      <c r="C717" s="85"/>
      <c r="D717" s="19"/>
      <c r="E717" s="20"/>
    </row>
    <row r="718" spans="1:5" ht="12.95" customHeight="1">
      <c r="A718" s="142">
        <f>+A717+0.01</f>
        <v>0.05</v>
      </c>
      <c r="B718" s="18">
        <f t="shared" si="63"/>
        <v>0.7</v>
      </c>
      <c r="C718" s="85"/>
      <c r="D718" s="19"/>
      <c r="E718" s="20"/>
    </row>
    <row r="719" spans="1:5" ht="12.95" customHeight="1">
      <c r="A719" s="143">
        <v>0.1</v>
      </c>
      <c r="B719" s="54">
        <f aca="true" t="shared" si="64" ref="B719:B726">-0.276*A719+0.714</f>
        <v>0.6864</v>
      </c>
      <c r="C719" s="85"/>
      <c r="D719" s="19"/>
      <c r="E719" s="20"/>
    </row>
    <row r="720" spans="1:5" ht="12.95" customHeight="1">
      <c r="A720" s="143">
        <f aca="true" t="shared" si="65" ref="A720:A726">+A719+0.2</f>
        <v>0.30000000000000004</v>
      </c>
      <c r="B720" s="54">
        <f t="shared" si="64"/>
        <v>0.6312</v>
      </c>
      <c r="C720" s="85"/>
      <c r="D720" s="19"/>
      <c r="E720" s="20"/>
    </row>
    <row r="721" spans="1:5" ht="12.95" customHeight="1">
      <c r="A721" s="143">
        <f t="shared" si="65"/>
        <v>0.5</v>
      </c>
      <c r="B721" s="54">
        <f t="shared" si="64"/>
        <v>0.576</v>
      </c>
      <c r="C721" s="85"/>
      <c r="D721" s="19"/>
      <c r="E721" s="20"/>
    </row>
    <row r="722" spans="1:5" ht="12.95" customHeight="1">
      <c r="A722" s="143">
        <f t="shared" si="65"/>
        <v>0.7</v>
      </c>
      <c r="B722" s="54">
        <f t="shared" si="64"/>
        <v>0.5207999999999999</v>
      </c>
      <c r="C722" s="85"/>
      <c r="D722" s="19"/>
      <c r="E722" s="20"/>
    </row>
    <row r="723" spans="1:5" ht="12.95" customHeight="1">
      <c r="A723" s="143">
        <f t="shared" si="65"/>
        <v>0.8999999999999999</v>
      </c>
      <c r="B723" s="54">
        <f t="shared" si="64"/>
        <v>0.46559999999999996</v>
      </c>
      <c r="C723" s="85"/>
      <c r="D723" s="19"/>
      <c r="E723" s="20"/>
    </row>
    <row r="724" spans="1:5" ht="12.95" customHeight="1">
      <c r="A724" s="143">
        <f t="shared" si="65"/>
        <v>1.0999999999999999</v>
      </c>
      <c r="B724" s="54">
        <f t="shared" si="64"/>
        <v>0.4104</v>
      </c>
      <c r="C724" s="85"/>
      <c r="D724" s="19"/>
      <c r="E724" s="20"/>
    </row>
    <row r="725" spans="1:5" ht="12.95" customHeight="1">
      <c r="A725" s="143">
        <f t="shared" si="65"/>
        <v>1.2999999999999998</v>
      </c>
      <c r="B725" s="54">
        <f t="shared" si="64"/>
        <v>0.35519999999999996</v>
      </c>
      <c r="C725" s="85"/>
      <c r="D725" s="19"/>
      <c r="E725" s="20"/>
    </row>
    <row r="726" spans="1:5" ht="12.95" customHeight="1">
      <c r="A726" s="143">
        <f t="shared" si="65"/>
        <v>1.4999999999999998</v>
      </c>
      <c r="B726" s="54">
        <f t="shared" si="64"/>
        <v>0.3</v>
      </c>
      <c r="C726" s="85"/>
      <c r="D726" s="19"/>
      <c r="E726" s="20"/>
    </row>
    <row r="727" spans="1:5" ht="12.95" customHeight="1">
      <c r="A727" s="144">
        <v>2</v>
      </c>
      <c r="B727" s="150">
        <f aca="true" t="shared" si="66" ref="B727:B733">-0.12*A727+0.48</f>
        <v>0.24</v>
      </c>
      <c r="C727" s="85"/>
      <c r="D727" s="19"/>
      <c r="E727" s="20"/>
    </row>
    <row r="728" spans="1:5" ht="12.95" customHeight="1">
      <c r="A728" s="144">
        <f>+A727+0.3</f>
        <v>2.3</v>
      </c>
      <c r="B728" s="150">
        <f t="shared" si="66"/>
        <v>0.20400000000000001</v>
      </c>
      <c r="C728" s="85"/>
      <c r="D728" s="19"/>
      <c r="E728" s="20"/>
    </row>
    <row r="729" spans="1:5" ht="12.95" customHeight="1">
      <c r="A729" s="144">
        <f>+A728+0.3</f>
        <v>2.5999999999999996</v>
      </c>
      <c r="B729" s="150">
        <f t="shared" si="66"/>
        <v>0.16800000000000004</v>
      </c>
      <c r="C729" s="85"/>
      <c r="D729" s="19"/>
      <c r="E729" s="20"/>
    </row>
    <row r="730" spans="1:5" ht="12.95" customHeight="1">
      <c r="A730" s="144">
        <f>+A729+0.3</f>
        <v>2.8999999999999995</v>
      </c>
      <c r="B730" s="150">
        <f t="shared" si="66"/>
        <v>0.13200000000000006</v>
      </c>
      <c r="C730" s="85"/>
      <c r="D730" s="19"/>
      <c r="E730" s="20"/>
    </row>
    <row r="731" spans="1:5" ht="12.95" customHeight="1">
      <c r="A731" s="144">
        <f>+A730+0.3</f>
        <v>3.1999999999999993</v>
      </c>
      <c r="B731" s="150">
        <f t="shared" si="66"/>
        <v>0.09600000000000009</v>
      </c>
      <c r="C731" s="85"/>
      <c r="D731" s="19"/>
      <c r="E731" s="20"/>
    </row>
    <row r="732" spans="1:5" ht="12.95" customHeight="1">
      <c r="A732" s="144">
        <f>+A731+0.3</f>
        <v>3.499999999999999</v>
      </c>
      <c r="B732" s="150">
        <f t="shared" si="66"/>
        <v>0.06000000000000011</v>
      </c>
      <c r="C732" s="85"/>
      <c r="D732" s="19"/>
      <c r="E732" s="20"/>
    </row>
    <row r="733" spans="1:5" ht="12.95" customHeight="1" thickBot="1">
      <c r="A733" s="145">
        <v>4</v>
      </c>
      <c r="B733" s="151">
        <f t="shared" si="66"/>
        <v>0</v>
      </c>
      <c r="C733" s="92"/>
      <c r="D733" s="24"/>
      <c r="E733" s="25"/>
    </row>
    <row r="734" ht="12.95" customHeight="1" thickTop="1"/>
    <row r="735" ht="12.95" customHeight="1" thickBot="1"/>
    <row r="736" spans="1:5" ht="30" customHeight="1" thickTop="1">
      <c r="A736" s="1" t="s">
        <v>7</v>
      </c>
      <c r="B736" s="2">
        <v>104</v>
      </c>
      <c r="C736" s="3" t="s">
        <v>5</v>
      </c>
      <c r="D736" s="4" t="s">
        <v>167</v>
      </c>
      <c r="E736" s="5" t="s">
        <v>168</v>
      </c>
    </row>
    <row r="737" spans="1:5" ht="30" customHeight="1">
      <c r="A737" s="6" t="s">
        <v>2</v>
      </c>
      <c r="B737" s="7" t="s">
        <v>172</v>
      </c>
      <c r="C737" s="8"/>
      <c r="D737" s="53" t="s">
        <v>169</v>
      </c>
      <c r="E737" s="9" t="s">
        <v>170</v>
      </c>
    </row>
    <row r="738" spans="1:5" ht="30" customHeight="1">
      <c r="A738" s="6" t="s">
        <v>10</v>
      </c>
      <c r="B738" s="7"/>
      <c r="C738" s="8"/>
      <c r="D738" s="55" t="s">
        <v>171</v>
      </c>
      <c r="E738" s="9" t="s">
        <v>34</v>
      </c>
    </row>
    <row r="739" spans="1:5" ht="30" customHeight="1" thickBot="1">
      <c r="A739" s="6" t="s">
        <v>3</v>
      </c>
      <c r="B739" s="7" t="s">
        <v>166</v>
      </c>
      <c r="C739" s="83"/>
      <c r="D739" s="56"/>
      <c r="E739" s="57"/>
    </row>
    <row r="740" spans="1:5" ht="30" customHeight="1">
      <c r="A740" s="6" t="s">
        <v>4</v>
      </c>
      <c r="B740" s="7" t="s">
        <v>147</v>
      </c>
      <c r="C740" s="10" t="s">
        <v>6</v>
      </c>
      <c r="D740" s="11">
        <v>0.01</v>
      </c>
      <c r="E740" s="58"/>
    </row>
    <row r="741" spans="1:5" ht="30" customHeight="1" thickBot="1">
      <c r="A741" s="12" t="s">
        <v>11</v>
      </c>
      <c r="B741" s="84" t="s">
        <v>66</v>
      </c>
      <c r="C741" s="13" t="s">
        <v>0</v>
      </c>
      <c r="D741" s="14">
        <f>IF(D740&lt;0,"valor del indicador fuera de rango",IF(D740&lt;=0.01,-30*(D740)+1,IF(D740&lt;=0.2,-2.11*(D740)+0.721,IF(D740&lt;=0.5,-1*(D740)+0.5,"valor fuera de rango"))))</f>
        <v>0.7</v>
      </c>
      <c r="E741" s="59"/>
    </row>
    <row r="742" spans="1:5" ht="30" customHeight="1">
      <c r="A742" s="15" t="s">
        <v>9</v>
      </c>
      <c r="B742" s="16" t="s">
        <v>0</v>
      </c>
      <c r="C742" s="192" t="s">
        <v>8</v>
      </c>
      <c r="D742" s="193"/>
      <c r="E742" s="194"/>
    </row>
    <row r="743" spans="1:5" ht="12.95" customHeight="1">
      <c r="A743" s="152">
        <v>0</v>
      </c>
      <c r="B743" s="157">
        <f aca="true" t="shared" si="67" ref="B743:B748">-30*(A743)+1</f>
        <v>1</v>
      </c>
      <c r="C743" s="19"/>
      <c r="D743" s="19"/>
      <c r="E743" s="20"/>
    </row>
    <row r="744" spans="1:5" ht="12.95" customHeight="1">
      <c r="A744" s="153">
        <f>+A743+0.002</f>
        <v>0.002</v>
      </c>
      <c r="B744" s="157">
        <f t="shared" si="67"/>
        <v>0.94</v>
      </c>
      <c r="C744" s="85"/>
      <c r="D744" s="19"/>
      <c r="E744" s="20"/>
    </row>
    <row r="745" spans="1:5" ht="12.95" customHeight="1">
      <c r="A745" s="153">
        <f>+A744+0.002</f>
        <v>0.004</v>
      </c>
      <c r="B745" s="157">
        <f t="shared" si="67"/>
        <v>0.88</v>
      </c>
      <c r="C745" s="85"/>
      <c r="D745" s="19"/>
      <c r="E745" s="20"/>
    </row>
    <row r="746" spans="1:5" ht="12.95" customHeight="1">
      <c r="A746" s="153">
        <f>+A745+0.002</f>
        <v>0.006</v>
      </c>
      <c r="B746" s="157">
        <f t="shared" si="67"/>
        <v>0.8200000000000001</v>
      </c>
      <c r="C746" s="85"/>
      <c r="D746" s="19"/>
      <c r="E746" s="20"/>
    </row>
    <row r="747" spans="1:5" ht="12.95" customHeight="1">
      <c r="A747" s="153">
        <f>+A746+0.002</f>
        <v>0.008</v>
      </c>
      <c r="B747" s="157">
        <f t="shared" si="67"/>
        <v>0.76</v>
      </c>
      <c r="C747" s="85"/>
      <c r="D747" s="19"/>
      <c r="E747" s="20"/>
    </row>
    <row r="748" spans="1:5" ht="12.95" customHeight="1">
      <c r="A748" s="153">
        <f>+A747+0.002</f>
        <v>0.01</v>
      </c>
      <c r="B748" s="157">
        <f t="shared" si="67"/>
        <v>0.7</v>
      </c>
      <c r="C748" s="85"/>
      <c r="D748" s="19"/>
      <c r="E748" s="20"/>
    </row>
    <row r="749" spans="1:5" ht="12.95" customHeight="1">
      <c r="A749" s="154">
        <f>+A748+0.025</f>
        <v>0.035</v>
      </c>
      <c r="B749" s="54">
        <f aca="true" t="shared" si="68" ref="B749:B756">-2.11*A749+0.721</f>
        <v>0.64715</v>
      </c>
      <c r="C749" s="85"/>
      <c r="D749" s="19"/>
      <c r="E749" s="20"/>
    </row>
    <row r="750" spans="1:5" ht="12.95" customHeight="1">
      <c r="A750" s="154">
        <f aca="true" t="shared" si="69" ref="A750:A755">+A749+0.025</f>
        <v>0.060000000000000005</v>
      </c>
      <c r="B750" s="54">
        <f t="shared" si="68"/>
        <v>0.5944</v>
      </c>
      <c r="C750" s="85"/>
      <c r="D750" s="19"/>
      <c r="E750" s="20"/>
    </row>
    <row r="751" spans="1:5" ht="12.95" customHeight="1">
      <c r="A751" s="154">
        <f t="shared" si="69"/>
        <v>0.085</v>
      </c>
      <c r="B751" s="54">
        <f t="shared" si="68"/>
        <v>0.54165</v>
      </c>
      <c r="C751" s="85"/>
      <c r="D751" s="19"/>
      <c r="E751" s="20"/>
    </row>
    <row r="752" spans="1:5" ht="12.95" customHeight="1">
      <c r="A752" s="154">
        <f t="shared" si="69"/>
        <v>0.11000000000000001</v>
      </c>
      <c r="B752" s="54">
        <f t="shared" si="68"/>
        <v>0.48889999999999995</v>
      </c>
      <c r="C752" s="85"/>
      <c r="D752" s="19"/>
      <c r="E752" s="20"/>
    </row>
    <row r="753" spans="1:5" ht="12.95" customHeight="1">
      <c r="A753" s="154">
        <f t="shared" si="69"/>
        <v>0.135</v>
      </c>
      <c r="B753" s="54">
        <f t="shared" si="68"/>
        <v>0.43615</v>
      </c>
      <c r="C753" s="85"/>
      <c r="D753" s="19"/>
      <c r="E753" s="20"/>
    </row>
    <row r="754" spans="1:5" ht="12.95" customHeight="1">
      <c r="A754" s="154">
        <f t="shared" si="69"/>
        <v>0.16</v>
      </c>
      <c r="B754" s="54">
        <f t="shared" si="68"/>
        <v>0.38339999999999996</v>
      </c>
      <c r="C754" s="85"/>
      <c r="D754" s="19"/>
      <c r="E754" s="20"/>
    </row>
    <row r="755" spans="1:5" ht="12.95" customHeight="1">
      <c r="A755" s="154">
        <f t="shared" si="69"/>
        <v>0.185</v>
      </c>
      <c r="B755" s="54">
        <f t="shared" si="68"/>
        <v>0.33065</v>
      </c>
      <c r="C755" s="85"/>
      <c r="D755" s="19"/>
      <c r="E755" s="20"/>
    </row>
    <row r="756" spans="1:5" ht="12.95" customHeight="1">
      <c r="A756" s="154">
        <v>0.2</v>
      </c>
      <c r="B756" s="54">
        <f t="shared" si="68"/>
        <v>0.299</v>
      </c>
      <c r="C756" s="85"/>
      <c r="D756" s="19"/>
      <c r="E756" s="20"/>
    </row>
    <row r="757" spans="1:5" ht="12.95" customHeight="1">
      <c r="A757" s="155">
        <v>0.2</v>
      </c>
      <c r="B757" s="131">
        <f aca="true" t="shared" si="70" ref="B757:B763">-1*A757+0.5</f>
        <v>0.3</v>
      </c>
      <c r="C757" s="85"/>
      <c r="D757" s="19"/>
      <c r="E757" s="20"/>
    </row>
    <row r="758" spans="1:5" ht="12.95" customHeight="1">
      <c r="A758" s="155">
        <v>0.25</v>
      </c>
      <c r="B758" s="131">
        <f t="shared" si="70"/>
        <v>0.25</v>
      </c>
      <c r="C758" s="85"/>
      <c r="D758" s="19"/>
      <c r="E758" s="20"/>
    </row>
    <row r="759" spans="1:5" ht="12.95" customHeight="1">
      <c r="A759" s="155">
        <v>0.3</v>
      </c>
      <c r="B759" s="131">
        <f t="shared" si="70"/>
        <v>0.2</v>
      </c>
      <c r="C759" s="85"/>
      <c r="D759" s="19"/>
      <c r="E759" s="20"/>
    </row>
    <row r="760" spans="1:5" ht="12.95" customHeight="1">
      <c r="A760" s="155">
        <v>0.35</v>
      </c>
      <c r="B760" s="131">
        <f t="shared" si="70"/>
        <v>0.15000000000000002</v>
      </c>
      <c r="C760" s="85"/>
      <c r="D760" s="19"/>
      <c r="E760" s="20"/>
    </row>
    <row r="761" spans="1:5" ht="12.95" customHeight="1">
      <c r="A761" s="155">
        <v>0.4</v>
      </c>
      <c r="B761" s="131">
        <f t="shared" si="70"/>
        <v>0.09999999999999998</v>
      </c>
      <c r="C761" s="85"/>
      <c r="D761" s="19"/>
      <c r="E761" s="20"/>
    </row>
    <row r="762" spans="1:5" ht="12.95" customHeight="1">
      <c r="A762" s="155">
        <v>0.45</v>
      </c>
      <c r="B762" s="131">
        <f t="shared" si="70"/>
        <v>0.04999999999999999</v>
      </c>
      <c r="C762" s="85"/>
      <c r="D762" s="19"/>
      <c r="E762" s="20"/>
    </row>
    <row r="763" spans="1:5" ht="12.95" customHeight="1" thickBot="1">
      <c r="A763" s="156">
        <v>0.5</v>
      </c>
      <c r="B763" s="133">
        <f t="shared" si="70"/>
        <v>0</v>
      </c>
      <c r="C763" s="92"/>
      <c r="D763" s="24"/>
      <c r="E763" s="25"/>
    </row>
    <row r="764" ht="12.95" customHeight="1" thickTop="1"/>
    <row r="765" ht="12.95" customHeight="1" thickBot="1"/>
    <row r="766" spans="1:5" ht="30" customHeight="1" thickTop="1">
      <c r="A766" s="1" t="s">
        <v>7</v>
      </c>
      <c r="B766" s="2">
        <v>105</v>
      </c>
      <c r="C766" s="3" t="s">
        <v>5</v>
      </c>
      <c r="D766" s="4" t="s">
        <v>175</v>
      </c>
      <c r="E766" s="5" t="s">
        <v>176</v>
      </c>
    </row>
    <row r="767" spans="1:5" ht="30" customHeight="1">
      <c r="A767" s="6" t="s">
        <v>2</v>
      </c>
      <c r="B767" s="7" t="s">
        <v>173</v>
      </c>
      <c r="C767" s="8"/>
      <c r="D767" s="53" t="s">
        <v>177</v>
      </c>
      <c r="E767" s="9" t="s">
        <v>178</v>
      </c>
    </row>
    <row r="768" spans="1:5" ht="30" customHeight="1">
      <c r="A768" s="6" t="s">
        <v>10</v>
      </c>
      <c r="B768" s="7"/>
      <c r="C768" s="8"/>
      <c r="D768" s="55"/>
      <c r="E768" s="9"/>
    </row>
    <row r="769" spans="1:5" ht="30" customHeight="1" thickBot="1">
      <c r="A769" s="6" t="s">
        <v>3</v>
      </c>
      <c r="B769" s="7" t="s">
        <v>166</v>
      </c>
      <c r="C769" s="83"/>
      <c r="D769" s="56"/>
      <c r="E769" s="57"/>
    </row>
    <row r="770" spans="1:5" ht="30" customHeight="1">
      <c r="A770" s="6" t="s">
        <v>4</v>
      </c>
      <c r="B770" s="7" t="s">
        <v>174</v>
      </c>
      <c r="C770" s="10" t="s">
        <v>6</v>
      </c>
      <c r="D770" s="11">
        <v>0.14</v>
      </c>
      <c r="E770" s="58"/>
    </row>
    <row r="771" spans="1:5" ht="30" customHeight="1" thickBot="1">
      <c r="A771" s="12" t="s">
        <v>11</v>
      </c>
      <c r="B771" s="84" t="s">
        <v>66</v>
      </c>
      <c r="C771" s="13" t="s">
        <v>0</v>
      </c>
      <c r="D771" s="14">
        <f>IF(D770&lt;0,"valor del indicador fuera de rango",IF(D770&lt;=0.4,-0.75*(D770)+1,IF(D770&lt;=0.7,-2.33*(D770)+1.63,"valor fuera de rango")))</f>
        <v>0.895</v>
      </c>
      <c r="E771" s="59"/>
    </row>
    <row r="772" spans="1:5" ht="30" customHeight="1">
      <c r="A772" s="15" t="s">
        <v>9</v>
      </c>
      <c r="B772" s="16" t="s">
        <v>0</v>
      </c>
      <c r="C772" s="192" t="s">
        <v>8</v>
      </c>
      <c r="D772" s="193"/>
      <c r="E772" s="194"/>
    </row>
    <row r="773" spans="1:5" ht="12.95" customHeight="1">
      <c r="A773" s="142">
        <v>0</v>
      </c>
      <c r="B773" s="159">
        <f aca="true" t="shared" si="71" ref="B773:B784">-0.75*(A773)+1</f>
        <v>1</v>
      </c>
      <c r="C773" s="19"/>
      <c r="D773" s="19"/>
      <c r="E773" s="20"/>
    </row>
    <row r="774" spans="1:5" ht="12.95" customHeight="1">
      <c r="A774" s="142">
        <f>+A773+0.035</f>
        <v>0.035</v>
      </c>
      <c r="B774" s="160">
        <f t="shared" si="71"/>
        <v>0.97375</v>
      </c>
      <c r="C774" s="85"/>
      <c r="D774" s="19"/>
      <c r="E774" s="20"/>
    </row>
    <row r="775" spans="1:5" ht="12.95" customHeight="1">
      <c r="A775" s="142">
        <f aca="true" t="shared" si="72" ref="A775:A793">+A774+0.035</f>
        <v>0.07</v>
      </c>
      <c r="B775" s="160">
        <f t="shared" si="71"/>
        <v>0.9475</v>
      </c>
      <c r="C775" s="85"/>
      <c r="D775" s="19"/>
      <c r="E775" s="20"/>
    </row>
    <row r="776" spans="1:5" ht="12.95" customHeight="1">
      <c r="A776" s="142">
        <f t="shared" si="72"/>
        <v>0.10500000000000001</v>
      </c>
      <c r="B776" s="160">
        <f t="shared" si="71"/>
        <v>0.92125</v>
      </c>
      <c r="C776" s="85"/>
      <c r="D776" s="19"/>
      <c r="E776" s="20"/>
    </row>
    <row r="777" spans="1:5" ht="12.95" customHeight="1">
      <c r="A777" s="142">
        <f t="shared" si="72"/>
        <v>0.14</v>
      </c>
      <c r="B777" s="160">
        <f t="shared" si="71"/>
        <v>0.895</v>
      </c>
      <c r="C777" s="85"/>
      <c r="D777" s="19"/>
      <c r="E777" s="20"/>
    </row>
    <row r="778" spans="1:5" ht="12.95" customHeight="1">
      <c r="A778" s="142">
        <f t="shared" si="72"/>
        <v>0.17500000000000002</v>
      </c>
      <c r="B778" s="160">
        <f t="shared" si="71"/>
        <v>0.86875</v>
      </c>
      <c r="C778" s="85"/>
      <c r="D778" s="19"/>
      <c r="E778" s="20"/>
    </row>
    <row r="779" spans="1:5" ht="12.95" customHeight="1">
      <c r="A779" s="142">
        <f t="shared" si="72"/>
        <v>0.21000000000000002</v>
      </c>
      <c r="B779" s="160">
        <f t="shared" si="71"/>
        <v>0.8425</v>
      </c>
      <c r="C779" s="85"/>
      <c r="D779" s="19"/>
      <c r="E779" s="20"/>
    </row>
    <row r="780" spans="1:5" ht="12.95" customHeight="1">
      <c r="A780" s="142">
        <f t="shared" si="72"/>
        <v>0.24500000000000002</v>
      </c>
      <c r="B780" s="160">
        <f t="shared" si="71"/>
        <v>0.8162499999999999</v>
      </c>
      <c r="C780" s="85"/>
      <c r="D780" s="19"/>
      <c r="E780" s="20"/>
    </row>
    <row r="781" spans="1:5" ht="12.95" customHeight="1">
      <c r="A781" s="142">
        <f t="shared" si="72"/>
        <v>0.28</v>
      </c>
      <c r="B781" s="160">
        <f t="shared" si="71"/>
        <v>0.79</v>
      </c>
      <c r="C781" s="85"/>
      <c r="D781" s="19"/>
      <c r="E781" s="20"/>
    </row>
    <row r="782" spans="1:5" ht="12.95" customHeight="1">
      <c r="A782" s="142">
        <f t="shared" si="72"/>
        <v>0.31500000000000006</v>
      </c>
      <c r="B782" s="160">
        <f t="shared" si="71"/>
        <v>0.7637499999999999</v>
      </c>
      <c r="C782" s="85"/>
      <c r="D782" s="19"/>
      <c r="E782" s="20"/>
    </row>
    <row r="783" spans="1:5" ht="12.95" customHeight="1">
      <c r="A783" s="142">
        <f t="shared" si="72"/>
        <v>0.3500000000000001</v>
      </c>
      <c r="B783" s="160">
        <f t="shared" si="71"/>
        <v>0.7374999999999999</v>
      </c>
      <c r="C783" s="85"/>
      <c r="D783" s="19"/>
      <c r="E783" s="20"/>
    </row>
    <row r="784" spans="1:5" ht="12.95" customHeight="1">
      <c r="A784" s="142">
        <f t="shared" si="72"/>
        <v>0.3850000000000001</v>
      </c>
      <c r="B784" s="160">
        <f t="shared" si="71"/>
        <v>0.7112499999999999</v>
      </c>
      <c r="C784" s="85"/>
      <c r="D784" s="19"/>
      <c r="E784" s="20"/>
    </row>
    <row r="785" spans="1:5" ht="12.95" customHeight="1">
      <c r="A785" s="143">
        <f t="shared" si="72"/>
        <v>0.42000000000000015</v>
      </c>
      <c r="B785" s="161">
        <f aca="true" t="shared" si="73" ref="B785:B792">-2.33*A785+1.63</f>
        <v>0.6513999999999995</v>
      </c>
      <c r="C785" s="85"/>
      <c r="D785" s="19"/>
      <c r="E785" s="20"/>
    </row>
    <row r="786" spans="1:5" ht="12.95" customHeight="1">
      <c r="A786" s="143">
        <f t="shared" si="72"/>
        <v>0.4550000000000002</v>
      </c>
      <c r="B786" s="161">
        <f t="shared" si="73"/>
        <v>0.5698499999999995</v>
      </c>
      <c r="C786" s="85"/>
      <c r="D786" s="19"/>
      <c r="E786" s="20"/>
    </row>
    <row r="787" spans="1:5" ht="12.95" customHeight="1">
      <c r="A787" s="143">
        <f t="shared" si="72"/>
        <v>0.4900000000000002</v>
      </c>
      <c r="B787" s="161">
        <f t="shared" si="73"/>
        <v>0.4882999999999993</v>
      </c>
      <c r="C787" s="85"/>
      <c r="D787" s="19"/>
      <c r="E787" s="20"/>
    </row>
    <row r="788" spans="1:5" ht="12.95" customHeight="1">
      <c r="A788" s="143">
        <f t="shared" si="72"/>
        <v>0.5250000000000002</v>
      </c>
      <c r="B788" s="161">
        <f t="shared" si="73"/>
        <v>0.4067499999999993</v>
      </c>
      <c r="C788" s="85"/>
      <c r="D788" s="19"/>
      <c r="E788" s="20"/>
    </row>
    <row r="789" spans="1:5" ht="12.95" customHeight="1">
      <c r="A789" s="143">
        <f t="shared" si="72"/>
        <v>0.5600000000000003</v>
      </c>
      <c r="B789" s="161">
        <f t="shared" si="73"/>
        <v>0.32519999999999927</v>
      </c>
      <c r="C789" s="85"/>
      <c r="D789" s="19"/>
      <c r="E789" s="20"/>
    </row>
    <row r="790" spans="1:5" ht="12.95" customHeight="1">
      <c r="A790" s="143">
        <f t="shared" si="72"/>
        <v>0.5950000000000003</v>
      </c>
      <c r="B790" s="161">
        <f t="shared" si="73"/>
        <v>0.24364999999999903</v>
      </c>
      <c r="C790" s="85"/>
      <c r="D790" s="19"/>
      <c r="E790" s="20"/>
    </row>
    <row r="791" spans="1:5" ht="12.95" customHeight="1">
      <c r="A791" s="143">
        <f t="shared" si="72"/>
        <v>0.6300000000000003</v>
      </c>
      <c r="B791" s="161">
        <f t="shared" si="73"/>
        <v>0.16209999999999902</v>
      </c>
      <c r="C791" s="85"/>
      <c r="D791" s="19"/>
      <c r="E791" s="20"/>
    </row>
    <row r="792" spans="1:5" ht="12.95" customHeight="1">
      <c r="A792" s="143">
        <f t="shared" si="72"/>
        <v>0.6650000000000004</v>
      </c>
      <c r="B792" s="161">
        <f t="shared" si="73"/>
        <v>0.08054999999999901</v>
      </c>
      <c r="C792" s="85"/>
      <c r="D792" s="19"/>
      <c r="E792" s="20"/>
    </row>
    <row r="793" spans="1:5" ht="12.95" customHeight="1" thickBot="1">
      <c r="A793" s="149">
        <f t="shared" si="72"/>
        <v>0.7000000000000004</v>
      </c>
      <c r="B793" s="162">
        <v>0</v>
      </c>
      <c r="C793" s="92"/>
      <c r="D793" s="24"/>
      <c r="E793" s="25"/>
    </row>
    <row r="794" ht="12.95" customHeight="1" thickTop="1"/>
    <row r="795" ht="12.95" customHeight="1" thickBot="1"/>
    <row r="796" spans="1:5" ht="30" customHeight="1" thickTop="1">
      <c r="A796" s="1" t="s">
        <v>7</v>
      </c>
      <c r="B796" s="2">
        <v>106</v>
      </c>
      <c r="C796" s="3" t="s">
        <v>5</v>
      </c>
      <c r="D796" s="4" t="s">
        <v>180</v>
      </c>
      <c r="E796" s="5" t="s">
        <v>181</v>
      </c>
    </row>
    <row r="797" spans="1:5" ht="30" customHeight="1">
      <c r="A797" s="6" t="s">
        <v>2</v>
      </c>
      <c r="B797" s="7" t="s">
        <v>179</v>
      </c>
      <c r="C797" s="8"/>
      <c r="D797" s="53" t="s">
        <v>182</v>
      </c>
      <c r="E797" s="9" t="s">
        <v>183</v>
      </c>
    </row>
    <row r="798" spans="1:5" ht="30" customHeight="1">
      <c r="A798" s="6" t="s">
        <v>10</v>
      </c>
      <c r="B798" s="7"/>
      <c r="C798" s="8"/>
      <c r="D798" s="55" t="s">
        <v>184</v>
      </c>
      <c r="E798" s="9" t="s">
        <v>185</v>
      </c>
    </row>
    <row r="799" spans="1:5" ht="30" customHeight="1" thickBot="1">
      <c r="A799" s="6" t="s">
        <v>3</v>
      </c>
      <c r="B799" s="7" t="s">
        <v>166</v>
      </c>
      <c r="C799" s="83"/>
      <c r="D799" s="56"/>
      <c r="E799" s="57"/>
    </row>
    <row r="800" spans="1:5" ht="30" customHeight="1">
      <c r="A800" s="6" t="s">
        <v>4</v>
      </c>
      <c r="B800" s="7" t="s">
        <v>186</v>
      </c>
      <c r="C800" s="10" t="s">
        <v>6</v>
      </c>
      <c r="D800" s="11">
        <v>0.003</v>
      </c>
      <c r="E800" s="58"/>
    </row>
    <row r="801" spans="1:5" ht="30" customHeight="1" thickBot="1">
      <c r="A801" s="12" t="s">
        <v>11</v>
      </c>
      <c r="B801" s="84" t="s">
        <v>66</v>
      </c>
      <c r="C801" s="13" t="s">
        <v>0</v>
      </c>
      <c r="D801" s="14">
        <f>IF(D800&lt;0,"valor del indicador fuera de rango",IF(D800&lt;=0.001,(-300*D800)+1,IF(D800&lt;=0.005,(-100*D800)+0.8,IF(D800&lt;=0.1,(-3.16*D800)+(0.316),IF(D800&gt;0.1,"valor del indicador fuera rango")))))</f>
        <v>0.5</v>
      </c>
      <c r="E801" s="59"/>
    </row>
    <row r="802" spans="1:5" ht="30" customHeight="1">
      <c r="A802" s="15" t="s">
        <v>9</v>
      </c>
      <c r="B802" s="16" t="s">
        <v>0</v>
      </c>
      <c r="C802" s="192" t="s">
        <v>8</v>
      </c>
      <c r="D802" s="193"/>
      <c r="E802" s="194"/>
    </row>
    <row r="803" spans="1:5" ht="12.95" customHeight="1">
      <c r="A803" s="158">
        <v>0</v>
      </c>
      <c r="B803" s="159">
        <f>(-300*A803)+1</f>
        <v>1</v>
      </c>
      <c r="C803" s="19"/>
      <c r="D803" s="19"/>
      <c r="E803" s="20"/>
    </row>
    <row r="804" spans="1:5" ht="12.95" customHeight="1">
      <c r="A804" s="158">
        <v>0.0001</v>
      </c>
      <c r="B804" s="159">
        <f>(-300*A804)+1</f>
        <v>0.97</v>
      </c>
      <c r="C804" s="85"/>
      <c r="D804" s="19"/>
      <c r="E804" s="20"/>
    </row>
    <row r="805" spans="1:5" ht="12.95" customHeight="1">
      <c r="A805" s="158">
        <v>0.0005</v>
      </c>
      <c r="B805" s="159">
        <f>(-300*A805)+1</f>
        <v>0.85</v>
      </c>
      <c r="C805" s="85"/>
      <c r="D805" s="19"/>
      <c r="E805" s="20"/>
    </row>
    <row r="806" spans="1:5" ht="12.95" customHeight="1">
      <c r="A806" s="158">
        <v>0.0009</v>
      </c>
      <c r="B806" s="159">
        <f>(-300*A806)+1</f>
        <v>0.73</v>
      </c>
      <c r="C806" s="85"/>
      <c r="D806" s="19"/>
      <c r="E806" s="20"/>
    </row>
    <row r="807" spans="1:5" ht="12.95" customHeight="1">
      <c r="A807" s="153">
        <v>0.001</v>
      </c>
      <c r="B807" s="159">
        <f>(-300*A807)+1</f>
        <v>0.7</v>
      </c>
      <c r="C807" s="85"/>
      <c r="D807" s="19"/>
      <c r="E807" s="20"/>
    </row>
    <row r="808" spans="1:5" ht="12.95" customHeight="1">
      <c r="A808" s="154">
        <v>0.001</v>
      </c>
      <c r="B808" s="163">
        <f>-100*A808+(0.8)</f>
        <v>0.7000000000000001</v>
      </c>
      <c r="C808" s="85"/>
      <c r="D808" s="19"/>
      <c r="E808" s="20"/>
    </row>
    <row r="809" spans="1:5" ht="12.95" customHeight="1">
      <c r="A809" s="154">
        <f>+A808+0.001</f>
        <v>0.002</v>
      </c>
      <c r="B809" s="163">
        <f>-100*A809+(0.8)</f>
        <v>0.6000000000000001</v>
      </c>
      <c r="C809" s="85"/>
      <c r="D809" s="19"/>
      <c r="E809" s="20"/>
    </row>
    <row r="810" spans="1:5" ht="12.95" customHeight="1">
      <c r="A810" s="154">
        <f>+A809+0.001</f>
        <v>0.003</v>
      </c>
      <c r="B810" s="163">
        <f>-100*A810+(0.8)</f>
        <v>0.5</v>
      </c>
      <c r="C810" s="85"/>
      <c r="D810" s="19"/>
      <c r="E810" s="20"/>
    </row>
    <row r="811" spans="1:5" ht="12.95" customHeight="1">
      <c r="A811" s="154">
        <f>+A810+0.001</f>
        <v>0.004</v>
      </c>
      <c r="B811" s="163">
        <f>-100*A811+(0.8)</f>
        <v>0.4</v>
      </c>
      <c r="C811" s="85"/>
      <c r="D811" s="19"/>
      <c r="E811" s="20"/>
    </row>
    <row r="812" spans="1:5" ht="12.95" customHeight="1">
      <c r="A812" s="154">
        <f>+A811+0.001</f>
        <v>0.005</v>
      </c>
      <c r="B812" s="163">
        <f>-100*A812+(0.8)</f>
        <v>0.30000000000000004</v>
      </c>
      <c r="C812" s="85"/>
      <c r="D812" s="19"/>
      <c r="E812" s="20"/>
    </row>
    <row r="813" spans="1:5" ht="12.95" customHeight="1">
      <c r="A813" s="164">
        <v>0.005</v>
      </c>
      <c r="B813" s="165">
        <f aca="true" t="shared" si="74" ref="B813:B823">(-3.16*A813)+(0.316)</f>
        <v>0.3002</v>
      </c>
      <c r="C813" s="85"/>
      <c r="D813" s="19"/>
      <c r="E813" s="20"/>
    </row>
    <row r="814" spans="1:5" ht="12.95" customHeight="1">
      <c r="A814" s="164">
        <f>+A813+0.01</f>
        <v>0.015</v>
      </c>
      <c r="B814" s="165">
        <f t="shared" si="74"/>
        <v>0.2686</v>
      </c>
      <c r="C814" s="85"/>
      <c r="D814" s="19"/>
      <c r="E814" s="20"/>
    </row>
    <row r="815" spans="1:5" ht="12.95" customHeight="1">
      <c r="A815" s="164">
        <f aca="true" t="shared" si="75" ref="A815:A822">+A814+0.01</f>
        <v>0.025</v>
      </c>
      <c r="B815" s="165">
        <f t="shared" si="74"/>
        <v>0.237</v>
      </c>
      <c r="C815" s="85"/>
      <c r="D815" s="19"/>
      <c r="E815" s="20"/>
    </row>
    <row r="816" spans="1:5" ht="12.95" customHeight="1">
      <c r="A816" s="164">
        <f t="shared" si="75"/>
        <v>0.035</v>
      </c>
      <c r="B816" s="165">
        <f t="shared" si="74"/>
        <v>0.20539999999999997</v>
      </c>
      <c r="C816" s="85"/>
      <c r="D816" s="19"/>
      <c r="E816" s="20"/>
    </row>
    <row r="817" spans="1:5" ht="12.95" customHeight="1">
      <c r="A817" s="164">
        <f t="shared" si="75"/>
        <v>0.045000000000000005</v>
      </c>
      <c r="B817" s="165">
        <f t="shared" si="74"/>
        <v>0.17379999999999998</v>
      </c>
      <c r="C817" s="85"/>
      <c r="D817" s="19"/>
      <c r="E817" s="20"/>
    </row>
    <row r="818" spans="1:5" ht="12.95" customHeight="1">
      <c r="A818" s="164">
        <f t="shared" si="75"/>
        <v>0.05500000000000001</v>
      </c>
      <c r="B818" s="165">
        <f t="shared" si="74"/>
        <v>0.14219999999999997</v>
      </c>
      <c r="C818" s="85"/>
      <c r="D818" s="19"/>
      <c r="E818" s="20"/>
    </row>
    <row r="819" spans="1:5" ht="12.95" customHeight="1">
      <c r="A819" s="164">
        <f t="shared" si="75"/>
        <v>0.065</v>
      </c>
      <c r="B819" s="165">
        <f t="shared" si="74"/>
        <v>0.11059999999999998</v>
      </c>
      <c r="C819" s="85"/>
      <c r="D819" s="19"/>
      <c r="E819" s="20"/>
    </row>
    <row r="820" spans="1:5" ht="12.95" customHeight="1">
      <c r="A820" s="164">
        <f t="shared" si="75"/>
        <v>0.075</v>
      </c>
      <c r="B820" s="165">
        <f t="shared" si="74"/>
        <v>0.07900000000000001</v>
      </c>
      <c r="C820" s="85"/>
      <c r="D820" s="19"/>
      <c r="E820" s="20"/>
    </row>
    <row r="821" spans="1:5" ht="12.95" customHeight="1">
      <c r="A821" s="164">
        <f t="shared" si="75"/>
        <v>0.08499999999999999</v>
      </c>
      <c r="B821" s="165">
        <f t="shared" si="74"/>
        <v>0.0474</v>
      </c>
      <c r="C821" s="85"/>
      <c r="D821" s="19"/>
      <c r="E821" s="20"/>
    </row>
    <row r="822" spans="1:5" ht="12.95" customHeight="1">
      <c r="A822" s="164">
        <f t="shared" si="75"/>
        <v>0.09499999999999999</v>
      </c>
      <c r="B822" s="165">
        <f t="shared" si="74"/>
        <v>0.015800000000000036</v>
      </c>
      <c r="C822" s="85"/>
      <c r="D822" s="19"/>
      <c r="E822" s="20"/>
    </row>
    <row r="823" spans="1:5" ht="12.95" customHeight="1" thickBot="1">
      <c r="A823" s="166">
        <v>0.1</v>
      </c>
      <c r="B823" s="167">
        <f t="shared" si="74"/>
        <v>0</v>
      </c>
      <c r="C823" s="92"/>
      <c r="D823" s="24"/>
      <c r="E823" s="25"/>
    </row>
    <row r="824" ht="12.95" customHeight="1" thickTop="1"/>
    <row r="825" ht="12.95" customHeight="1" thickBot="1"/>
    <row r="826" spans="1:5" ht="30" customHeight="1" thickTop="1">
      <c r="A826" s="1" t="s">
        <v>7</v>
      </c>
      <c r="B826" s="2">
        <v>107</v>
      </c>
      <c r="C826" s="3" t="s">
        <v>5</v>
      </c>
      <c r="D826" s="4" t="s">
        <v>188</v>
      </c>
      <c r="E826" s="5" t="s">
        <v>159</v>
      </c>
    </row>
    <row r="827" spans="1:5" ht="30" customHeight="1">
      <c r="A827" s="6" t="s">
        <v>2</v>
      </c>
      <c r="B827" s="7" t="s">
        <v>187</v>
      </c>
      <c r="C827" s="8"/>
      <c r="D827" s="53" t="s">
        <v>189</v>
      </c>
      <c r="E827" s="97" t="s">
        <v>190</v>
      </c>
    </row>
    <row r="828" spans="1:5" ht="30" customHeight="1">
      <c r="A828" s="6" t="s">
        <v>10</v>
      </c>
      <c r="B828" s="7"/>
      <c r="C828" s="8"/>
      <c r="D828" s="53" t="s">
        <v>191</v>
      </c>
      <c r="E828" s="97" t="s">
        <v>28</v>
      </c>
    </row>
    <row r="829" spans="1:5" ht="30" customHeight="1" thickBot="1">
      <c r="A829" s="6" t="s">
        <v>3</v>
      </c>
      <c r="B829" s="7" t="s">
        <v>166</v>
      </c>
      <c r="C829" s="83"/>
      <c r="D829" s="99"/>
      <c r="E829" s="100"/>
    </row>
    <row r="830" spans="1:5" ht="30" customHeight="1">
      <c r="A830" s="6" t="s">
        <v>4</v>
      </c>
      <c r="B830" s="7" t="s">
        <v>143</v>
      </c>
      <c r="C830" s="10" t="s">
        <v>6</v>
      </c>
      <c r="D830" s="11">
        <v>0.9</v>
      </c>
      <c r="E830" s="58"/>
    </row>
    <row r="831" spans="1:5" ht="30" customHeight="1" thickBot="1">
      <c r="A831" s="12" t="s">
        <v>11</v>
      </c>
      <c r="B831" s="84" t="s">
        <v>66</v>
      </c>
      <c r="C831" s="13" t="s">
        <v>0</v>
      </c>
      <c r="D831" s="14">
        <f>IF(D830&lt;0,"valor del indicador fuera de rango",IF(D830&lt;=0.05,(-6*D830)+1,IF(D830&lt;=0.2,(-2.67*D830)+0.833,IF(D830&lt;=1,(-0.375*D830)+0.375,"valor del indicador fuera rango"))))</f>
        <v>0.03749999999999998</v>
      </c>
      <c r="E831" s="59"/>
    </row>
    <row r="832" spans="1:5" ht="30" customHeight="1">
      <c r="A832" s="15" t="s">
        <v>9</v>
      </c>
      <c r="B832" s="16" t="s">
        <v>0</v>
      </c>
      <c r="C832" s="192" t="s">
        <v>8</v>
      </c>
      <c r="D832" s="193"/>
      <c r="E832" s="194"/>
    </row>
    <row r="833" spans="1:5" ht="12.95" customHeight="1">
      <c r="A833" s="142">
        <v>0</v>
      </c>
      <c r="B833" s="18">
        <f>(-6*A833)+1</f>
        <v>1</v>
      </c>
      <c r="C833" s="19"/>
      <c r="D833" s="19"/>
      <c r="E833" s="20"/>
    </row>
    <row r="834" spans="1:5" ht="12.95" customHeight="1">
      <c r="A834" s="142">
        <v>0.02</v>
      </c>
      <c r="B834" s="18">
        <f>(-6*A834)+1</f>
        <v>0.88</v>
      </c>
      <c r="C834" s="85"/>
      <c r="D834" s="19"/>
      <c r="E834" s="20"/>
    </row>
    <row r="835" spans="1:5" ht="12.95" customHeight="1">
      <c r="A835" s="142">
        <v>0.04</v>
      </c>
      <c r="B835" s="18">
        <f>(-6*A835)+1</f>
        <v>0.76</v>
      </c>
      <c r="C835" s="85"/>
      <c r="D835" s="19"/>
      <c r="E835" s="20"/>
    </row>
    <row r="836" spans="1:5" ht="12.95" customHeight="1">
      <c r="A836" s="142">
        <v>0.05</v>
      </c>
      <c r="B836" s="18">
        <f>(-6*A836)+1</f>
        <v>0.7</v>
      </c>
      <c r="C836" s="85"/>
      <c r="D836" s="19"/>
      <c r="E836" s="20"/>
    </row>
    <row r="837" spans="1:5" ht="12.95" customHeight="1">
      <c r="A837" s="143">
        <v>0.06</v>
      </c>
      <c r="B837" s="54">
        <f aca="true" t="shared" si="76" ref="B837:B844">(-2.67*A837)+(0.833)</f>
        <v>0.6728</v>
      </c>
      <c r="C837" s="85"/>
      <c r="D837" s="19"/>
      <c r="E837" s="20"/>
    </row>
    <row r="838" spans="1:5" ht="12.95" customHeight="1">
      <c r="A838" s="143">
        <v>0.08</v>
      </c>
      <c r="B838" s="54">
        <f t="shared" si="76"/>
        <v>0.6194</v>
      </c>
      <c r="C838" s="85"/>
      <c r="D838" s="19"/>
      <c r="E838" s="20"/>
    </row>
    <row r="839" spans="1:5" ht="12.95" customHeight="1">
      <c r="A839" s="143">
        <v>0.1</v>
      </c>
      <c r="B839" s="54">
        <f t="shared" si="76"/>
        <v>0.566</v>
      </c>
      <c r="C839" s="85"/>
      <c r="D839" s="19"/>
      <c r="E839" s="20"/>
    </row>
    <row r="840" spans="1:5" ht="12.95" customHeight="1">
      <c r="A840" s="143">
        <v>0.12</v>
      </c>
      <c r="B840" s="54">
        <f t="shared" si="76"/>
        <v>0.5126</v>
      </c>
      <c r="C840" s="85"/>
      <c r="D840" s="19"/>
      <c r="E840" s="20"/>
    </row>
    <row r="841" spans="1:5" ht="12.95" customHeight="1">
      <c r="A841" s="143">
        <v>0.14</v>
      </c>
      <c r="B841" s="54">
        <f t="shared" si="76"/>
        <v>0.45919999999999994</v>
      </c>
      <c r="C841" s="85"/>
      <c r="D841" s="19"/>
      <c r="E841" s="20"/>
    </row>
    <row r="842" spans="1:5" ht="12.95" customHeight="1">
      <c r="A842" s="143">
        <v>0.16</v>
      </c>
      <c r="B842" s="54">
        <f t="shared" si="76"/>
        <v>0.40579999999999994</v>
      </c>
      <c r="C842" s="85"/>
      <c r="D842" s="19"/>
      <c r="E842" s="20"/>
    </row>
    <row r="843" spans="1:5" ht="12.95" customHeight="1">
      <c r="A843" s="143">
        <v>0.18</v>
      </c>
      <c r="B843" s="54">
        <f t="shared" si="76"/>
        <v>0.3524</v>
      </c>
      <c r="C843" s="85"/>
      <c r="D843" s="19"/>
      <c r="E843" s="20"/>
    </row>
    <row r="844" spans="1:5" ht="12.95" customHeight="1">
      <c r="A844" s="143">
        <v>0.2</v>
      </c>
      <c r="B844" s="54">
        <f t="shared" si="76"/>
        <v>0.29899999999999993</v>
      </c>
      <c r="C844" s="85"/>
      <c r="D844" s="19"/>
      <c r="E844" s="20"/>
    </row>
    <row r="845" spans="1:5" ht="12.95" customHeight="1">
      <c r="A845" s="144">
        <v>0.2</v>
      </c>
      <c r="B845" s="131">
        <f aca="true" t="shared" si="77" ref="B845:B853">(-0.375*A845)+(0.375)</f>
        <v>0.3</v>
      </c>
      <c r="C845" s="85"/>
      <c r="D845" s="19"/>
      <c r="E845" s="20"/>
    </row>
    <row r="846" spans="1:5" ht="12.95" customHeight="1">
      <c r="A846" s="144">
        <f aca="true" t="shared" si="78" ref="A846:A853">+A845+0.1</f>
        <v>0.30000000000000004</v>
      </c>
      <c r="B846" s="131">
        <f t="shared" si="77"/>
        <v>0.26249999999999996</v>
      </c>
      <c r="C846" s="85"/>
      <c r="D846" s="19"/>
      <c r="E846" s="20"/>
    </row>
    <row r="847" spans="1:5" ht="12.95" customHeight="1">
      <c r="A847" s="144">
        <f t="shared" si="78"/>
        <v>0.4</v>
      </c>
      <c r="B847" s="131">
        <f t="shared" si="77"/>
        <v>0.22499999999999998</v>
      </c>
      <c r="C847" s="85"/>
      <c r="D847" s="19"/>
      <c r="E847" s="20"/>
    </row>
    <row r="848" spans="1:5" ht="12.95" customHeight="1">
      <c r="A848" s="144">
        <f t="shared" si="78"/>
        <v>0.5</v>
      </c>
      <c r="B848" s="131">
        <f t="shared" si="77"/>
        <v>0.1875</v>
      </c>
      <c r="C848" s="85"/>
      <c r="D848" s="19"/>
      <c r="E848" s="20"/>
    </row>
    <row r="849" spans="1:5" ht="12.95" customHeight="1">
      <c r="A849" s="144">
        <f t="shared" si="78"/>
        <v>0.6</v>
      </c>
      <c r="B849" s="131">
        <f t="shared" si="77"/>
        <v>0.15000000000000002</v>
      </c>
      <c r="C849" s="85"/>
      <c r="D849" s="19"/>
      <c r="E849" s="20"/>
    </row>
    <row r="850" spans="1:5" ht="12.95" customHeight="1">
      <c r="A850" s="144">
        <f t="shared" si="78"/>
        <v>0.7</v>
      </c>
      <c r="B850" s="131">
        <f t="shared" si="77"/>
        <v>0.11250000000000004</v>
      </c>
      <c r="C850" s="85"/>
      <c r="D850" s="19"/>
      <c r="E850" s="20"/>
    </row>
    <row r="851" spans="1:5" ht="12.95" customHeight="1">
      <c r="A851" s="144">
        <f t="shared" si="78"/>
        <v>0.7999999999999999</v>
      </c>
      <c r="B851" s="131">
        <f t="shared" si="77"/>
        <v>0.07500000000000001</v>
      </c>
      <c r="C851" s="85"/>
      <c r="D851" s="19"/>
      <c r="E851" s="20"/>
    </row>
    <row r="852" spans="1:5" ht="12.95" customHeight="1">
      <c r="A852" s="144">
        <f t="shared" si="78"/>
        <v>0.8999999999999999</v>
      </c>
      <c r="B852" s="131">
        <f t="shared" si="77"/>
        <v>0.03750000000000003</v>
      </c>
      <c r="C852" s="85"/>
      <c r="D852" s="19"/>
      <c r="E852" s="20"/>
    </row>
    <row r="853" spans="1:5" ht="12.95" customHeight="1" thickBot="1">
      <c r="A853" s="145">
        <f t="shared" si="78"/>
        <v>0.9999999999999999</v>
      </c>
      <c r="B853" s="133">
        <f t="shared" si="77"/>
        <v>0</v>
      </c>
      <c r="C853" s="92"/>
      <c r="D853" s="24"/>
      <c r="E853" s="25"/>
    </row>
    <row r="854" ht="12.95" customHeight="1" thickTop="1"/>
    <row r="855" ht="12.95" customHeight="1" thickBot="1"/>
    <row r="856" spans="1:5" ht="30" customHeight="1" thickTop="1">
      <c r="A856" s="1" t="s">
        <v>7</v>
      </c>
      <c r="B856" s="2">
        <v>108</v>
      </c>
      <c r="C856" s="3" t="s">
        <v>5</v>
      </c>
      <c r="D856" s="4" t="s">
        <v>194</v>
      </c>
      <c r="E856" s="5" t="s">
        <v>145</v>
      </c>
    </row>
    <row r="857" spans="1:5" ht="30" customHeight="1">
      <c r="A857" s="6" t="s">
        <v>2</v>
      </c>
      <c r="B857" s="7" t="s">
        <v>192</v>
      </c>
      <c r="C857" s="8"/>
      <c r="D857" s="53" t="s">
        <v>195</v>
      </c>
      <c r="E857" s="9" t="s">
        <v>28</v>
      </c>
    </row>
    <row r="858" spans="1:5" ht="30" customHeight="1">
      <c r="A858" s="6" t="s">
        <v>10</v>
      </c>
      <c r="B858" s="7"/>
      <c r="C858" s="8"/>
      <c r="D858" s="53"/>
      <c r="E858" s="97"/>
    </row>
    <row r="859" spans="1:5" ht="30" customHeight="1" thickBot="1">
      <c r="A859" s="6" t="s">
        <v>3</v>
      </c>
      <c r="B859" s="168" t="s">
        <v>193</v>
      </c>
      <c r="C859" s="83"/>
      <c r="D859" s="99"/>
      <c r="E859" s="100"/>
    </row>
    <row r="860" spans="1:5" ht="30" customHeight="1">
      <c r="A860" s="6" t="s">
        <v>4</v>
      </c>
      <c r="B860" s="7" t="s">
        <v>143</v>
      </c>
      <c r="C860" s="10" t="s">
        <v>6</v>
      </c>
      <c r="D860" s="11">
        <v>0.9</v>
      </c>
      <c r="E860" s="58"/>
    </row>
    <row r="861" spans="1:5" ht="30" customHeight="1" thickBot="1">
      <c r="A861" s="12" t="s">
        <v>11</v>
      </c>
      <c r="B861" s="84" t="s">
        <v>66</v>
      </c>
      <c r="C861" s="13" t="s">
        <v>0</v>
      </c>
      <c r="D861" s="14">
        <f>IF(D860&lt;0,"valor del indicador fuera de rango",IF(D860&lt;=0.2,(-1.5*D860)+1,IF(D860&lt;=1,(0.875*D860)+0.875,"valor del indicador fuera rango")))</f>
        <v>1.6625</v>
      </c>
      <c r="E861" s="59"/>
    </row>
    <row r="862" spans="1:5" ht="30" customHeight="1">
      <c r="A862" s="15" t="s">
        <v>9</v>
      </c>
      <c r="B862" s="16" t="s">
        <v>0</v>
      </c>
      <c r="C862" s="192" t="s">
        <v>8</v>
      </c>
      <c r="D862" s="193"/>
      <c r="E862" s="194"/>
    </row>
    <row r="863" spans="1:5" ht="12.95" customHeight="1">
      <c r="A863" s="142">
        <v>0</v>
      </c>
      <c r="B863" s="18">
        <f aca="true" t="shared" si="79" ref="B863:B874">(-1.5*A863)+1</f>
        <v>1</v>
      </c>
      <c r="C863" s="19"/>
      <c r="D863" s="19"/>
      <c r="E863" s="20"/>
    </row>
    <row r="864" spans="1:5" ht="12.95" customHeight="1">
      <c r="A864" s="142">
        <v>0.02</v>
      </c>
      <c r="B864" s="18">
        <f t="shared" si="79"/>
        <v>0.97</v>
      </c>
      <c r="C864" s="85"/>
      <c r="D864" s="19"/>
      <c r="E864" s="20"/>
    </row>
    <row r="865" spans="1:5" ht="12.95" customHeight="1">
      <c r="A865" s="142">
        <v>0.04</v>
      </c>
      <c r="B865" s="18">
        <f t="shared" si="79"/>
        <v>0.94</v>
      </c>
      <c r="C865" s="85"/>
      <c r="D865" s="19"/>
      <c r="E865" s="20"/>
    </row>
    <row r="866" spans="1:5" ht="12.95" customHeight="1">
      <c r="A866" s="142">
        <v>0.05</v>
      </c>
      <c r="B866" s="18">
        <f t="shared" si="79"/>
        <v>0.925</v>
      </c>
      <c r="C866" s="85"/>
      <c r="D866" s="19"/>
      <c r="E866" s="20"/>
    </row>
    <row r="867" spans="1:5" ht="12.95" customHeight="1">
      <c r="A867" s="142">
        <v>0.06</v>
      </c>
      <c r="B867" s="18">
        <f t="shared" si="79"/>
        <v>0.91</v>
      </c>
      <c r="C867" s="85"/>
      <c r="D867" s="19"/>
      <c r="E867" s="20"/>
    </row>
    <row r="868" spans="1:5" ht="12.95" customHeight="1">
      <c r="A868" s="142">
        <v>0.08</v>
      </c>
      <c r="B868" s="18">
        <f t="shared" si="79"/>
        <v>0.88</v>
      </c>
      <c r="C868" s="85"/>
      <c r="D868" s="19"/>
      <c r="E868" s="20"/>
    </row>
    <row r="869" spans="1:5" ht="12.95" customHeight="1">
      <c r="A869" s="142">
        <v>0.1</v>
      </c>
      <c r="B869" s="18">
        <f t="shared" si="79"/>
        <v>0.85</v>
      </c>
      <c r="C869" s="85"/>
      <c r="D869" s="19"/>
      <c r="E869" s="20"/>
    </row>
    <row r="870" spans="1:5" ht="12.95" customHeight="1">
      <c r="A870" s="142">
        <v>0.12</v>
      </c>
      <c r="B870" s="18">
        <f t="shared" si="79"/>
        <v>0.8200000000000001</v>
      </c>
      <c r="C870" s="85"/>
      <c r="D870" s="19"/>
      <c r="E870" s="20"/>
    </row>
    <row r="871" spans="1:5" ht="12.95" customHeight="1">
      <c r="A871" s="142">
        <v>0.14</v>
      </c>
      <c r="B871" s="18">
        <f t="shared" si="79"/>
        <v>0.79</v>
      </c>
      <c r="C871" s="85"/>
      <c r="D871" s="19"/>
      <c r="E871" s="20"/>
    </row>
    <row r="872" spans="1:5" ht="12.95" customHeight="1">
      <c r="A872" s="142">
        <v>0.16</v>
      </c>
      <c r="B872" s="18">
        <f t="shared" si="79"/>
        <v>0.76</v>
      </c>
      <c r="C872" s="85"/>
      <c r="D872" s="19"/>
      <c r="E872" s="20"/>
    </row>
    <row r="873" spans="1:5" ht="12.95" customHeight="1">
      <c r="A873" s="142">
        <v>0.18</v>
      </c>
      <c r="B873" s="18">
        <f t="shared" si="79"/>
        <v>0.73</v>
      </c>
      <c r="C873" s="85"/>
      <c r="D873" s="19"/>
      <c r="E873" s="20"/>
    </row>
    <row r="874" spans="1:5" ht="12.95" customHeight="1">
      <c r="A874" s="142">
        <v>0.2</v>
      </c>
      <c r="B874" s="18">
        <f t="shared" si="79"/>
        <v>0.7</v>
      </c>
      <c r="C874" s="85"/>
      <c r="D874" s="19"/>
      <c r="E874" s="20"/>
    </row>
    <row r="875" spans="1:5" ht="12.95" customHeight="1">
      <c r="A875" s="143">
        <v>0.2</v>
      </c>
      <c r="B875" s="54">
        <f aca="true" t="shared" si="80" ref="B875:B883">(-0.875*A875)+0.875</f>
        <v>0.7</v>
      </c>
      <c r="C875" s="85"/>
      <c r="D875" s="19"/>
      <c r="E875" s="20"/>
    </row>
    <row r="876" spans="1:5" ht="12.95" customHeight="1">
      <c r="A876" s="143">
        <f aca="true" t="shared" si="81" ref="A876:A883">+A875+0.1</f>
        <v>0.30000000000000004</v>
      </c>
      <c r="B876" s="54">
        <f t="shared" si="80"/>
        <v>0.6124999999999999</v>
      </c>
      <c r="C876" s="85"/>
      <c r="D876" s="19"/>
      <c r="E876" s="20"/>
    </row>
    <row r="877" spans="1:5" ht="12.95" customHeight="1">
      <c r="A877" s="143">
        <f t="shared" si="81"/>
        <v>0.4</v>
      </c>
      <c r="B877" s="54">
        <f t="shared" si="80"/>
        <v>0.5249999999999999</v>
      </c>
      <c r="C877" s="85"/>
      <c r="D877" s="19"/>
      <c r="E877" s="20"/>
    </row>
    <row r="878" spans="1:5" ht="12.95" customHeight="1">
      <c r="A878" s="143">
        <f t="shared" si="81"/>
        <v>0.5</v>
      </c>
      <c r="B878" s="54">
        <f t="shared" si="80"/>
        <v>0.4375</v>
      </c>
      <c r="C878" s="85"/>
      <c r="D878" s="19"/>
      <c r="E878" s="20"/>
    </row>
    <row r="879" spans="1:5" ht="12.95" customHeight="1">
      <c r="A879" s="143">
        <f t="shared" si="81"/>
        <v>0.6</v>
      </c>
      <c r="B879" s="54">
        <f t="shared" si="80"/>
        <v>0.35</v>
      </c>
      <c r="C879" s="85"/>
      <c r="D879" s="19"/>
      <c r="E879" s="20"/>
    </row>
    <row r="880" spans="1:5" ht="12.95" customHeight="1">
      <c r="A880" s="143">
        <f t="shared" si="81"/>
        <v>0.7</v>
      </c>
      <c r="B880" s="54">
        <f t="shared" si="80"/>
        <v>0.26250000000000007</v>
      </c>
      <c r="C880" s="85"/>
      <c r="D880" s="19"/>
      <c r="E880" s="20"/>
    </row>
    <row r="881" spans="1:5" ht="12.95" customHeight="1">
      <c r="A881" s="143">
        <f t="shared" si="81"/>
        <v>0.7999999999999999</v>
      </c>
      <c r="B881" s="54">
        <f t="shared" si="80"/>
        <v>0.17500000000000004</v>
      </c>
      <c r="C881" s="85"/>
      <c r="D881" s="19"/>
      <c r="E881" s="20"/>
    </row>
    <row r="882" spans="1:5" ht="12.95" customHeight="1">
      <c r="A882" s="143">
        <f t="shared" si="81"/>
        <v>0.8999999999999999</v>
      </c>
      <c r="B882" s="54">
        <f t="shared" si="80"/>
        <v>0.08750000000000013</v>
      </c>
      <c r="C882" s="85"/>
      <c r="D882" s="19"/>
      <c r="E882" s="20"/>
    </row>
    <row r="883" spans="1:5" ht="12.95" customHeight="1" thickBot="1">
      <c r="A883" s="149">
        <f t="shared" si="81"/>
        <v>0.9999999999999999</v>
      </c>
      <c r="B883" s="91">
        <f t="shared" si="80"/>
        <v>0</v>
      </c>
      <c r="C883" s="92"/>
      <c r="D883" s="24"/>
      <c r="E883" s="25"/>
    </row>
    <row r="884" ht="12.95" customHeight="1" thickTop="1"/>
    <row r="885" ht="12.95" customHeight="1" thickBot="1"/>
    <row r="886" spans="1:5" ht="30" customHeight="1" thickTop="1">
      <c r="A886" s="1" t="s">
        <v>7</v>
      </c>
      <c r="B886" s="2">
        <v>109</v>
      </c>
      <c r="C886" s="3" t="s">
        <v>5</v>
      </c>
      <c r="D886" s="4" t="s">
        <v>198</v>
      </c>
      <c r="E886" s="5" t="s">
        <v>13</v>
      </c>
    </row>
    <row r="887" spans="1:5" ht="30" customHeight="1">
      <c r="A887" s="6" t="s">
        <v>2</v>
      </c>
      <c r="B887" s="7" t="s">
        <v>196</v>
      </c>
      <c r="C887" s="8"/>
      <c r="D887" s="53"/>
      <c r="E887" s="9"/>
    </row>
    <row r="888" spans="1:5" ht="30" customHeight="1">
      <c r="A888" s="6" t="s">
        <v>10</v>
      </c>
      <c r="B888" s="7"/>
      <c r="C888" s="8"/>
      <c r="D888" s="53"/>
      <c r="E888" s="97"/>
    </row>
    <row r="889" spans="1:5" ht="30" customHeight="1" thickBot="1">
      <c r="A889" s="6" t="s">
        <v>3</v>
      </c>
      <c r="B889" s="7" t="s">
        <v>166</v>
      </c>
      <c r="C889" s="83"/>
      <c r="D889" s="99"/>
      <c r="E889" s="100"/>
    </row>
    <row r="890" spans="1:5" ht="30" customHeight="1">
      <c r="A890" s="6" t="s">
        <v>4</v>
      </c>
      <c r="B890" s="7" t="s">
        <v>197</v>
      </c>
      <c r="C890" s="10" t="s">
        <v>6</v>
      </c>
      <c r="D890" s="11">
        <v>0.9</v>
      </c>
      <c r="E890" s="58"/>
    </row>
    <row r="891" spans="1:5" ht="30" customHeight="1" thickBot="1">
      <c r="A891" s="12" t="s">
        <v>11</v>
      </c>
      <c r="B891" s="37" t="s">
        <v>66</v>
      </c>
      <c r="C891" s="13" t="s">
        <v>0</v>
      </c>
      <c r="D891" s="14">
        <f>IF(D890&lt;0,"valor del indicador fuera de rango",IF(D890&lt;=50,(-0.02*D890)+1,IF(D890&gt;50,"valor del indicador fuera rango")))</f>
        <v>0.982</v>
      </c>
      <c r="E891" s="59"/>
    </row>
    <row r="892" spans="1:5" ht="30" customHeight="1">
      <c r="A892" s="15" t="s">
        <v>9</v>
      </c>
      <c r="B892" s="16" t="s">
        <v>0</v>
      </c>
      <c r="C892" s="192" t="s">
        <v>8</v>
      </c>
      <c r="D892" s="193"/>
      <c r="E892" s="194"/>
    </row>
    <row r="893" spans="1:5" ht="12.95" customHeight="1">
      <c r="A893" s="169">
        <v>0</v>
      </c>
      <c r="B893" s="18">
        <f aca="true" t="shared" si="82" ref="B893:B913">(-0.02*A893)+1</f>
        <v>1</v>
      </c>
      <c r="C893" s="19"/>
      <c r="D893" s="19"/>
      <c r="E893" s="20"/>
    </row>
    <row r="894" spans="1:5" ht="12.95" customHeight="1">
      <c r="A894" s="169">
        <f>+A893+2</f>
        <v>2</v>
      </c>
      <c r="B894" s="18">
        <f t="shared" si="82"/>
        <v>0.96</v>
      </c>
      <c r="C894" s="85"/>
      <c r="D894" s="19"/>
      <c r="E894" s="20"/>
    </row>
    <row r="895" spans="1:5" ht="12.95" customHeight="1">
      <c r="A895" s="169">
        <v>5</v>
      </c>
      <c r="B895" s="18">
        <f t="shared" si="82"/>
        <v>0.9</v>
      </c>
      <c r="C895" s="85"/>
      <c r="D895" s="19"/>
      <c r="E895" s="20"/>
    </row>
    <row r="896" spans="1:5" ht="12.95" customHeight="1">
      <c r="A896" s="169">
        <v>10</v>
      </c>
      <c r="B896" s="18">
        <f t="shared" si="82"/>
        <v>0.8</v>
      </c>
      <c r="C896" s="85"/>
      <c r="D896" s="19"/>
      <c r="E896" s="20"/>
    </row>
    <row r="897" spans="1:5" ht="12.95" customHeight="1">
      <c r="A897" s="169">
        <v>15</v>
      </c>
      <c r="B897" s="18">
        <f t="shared" si="82"/>
        <v>0.7</v>
      </c>
      <c r="C897" s="85"/>
      <c r="D897" s="19"/>
      <c r="E897" s="20"/>
    </row>
    <row r="898" spans="1:5" ht="12.95" customHeight="1">
      <c r="A898" s="169">
        <v>20</v>
      </c>
      <c r="B898" s="18">
        <f t="shared" si="82"/>
        <v>0.6</v>
      </c>
      <c r="C898" s="85"/>
      <c r="D898" s="19"/>
      <c r="E898" s="20"/>
    </row>
    <row r="899" spans="1:5" ht="12.95" customHeight="1">
      <c r="A899" s="169">
        <f aca="true" t="shared" si="83" ref="A899:A913">+A898+2</f>
        <v>22</v>
      </c>
      <c r="B899" s="18">
        <f t="shared" si="82"/>
        <v>0.56</v>
      </c>
      <c r="C899" s="85"/>
      <c r="D899" s="19"/>
      <c r="E899" s="20"/>
    </row>
    <row r="900" spans="1:5" ht="12.95" customHeight="1">
      <c r="A900" s="169">
        <f t="shared" si="83"/>
        <v>24</v>
      </c>
      <c r="B900" s="18">
        <f t="shared" si="82"/>
        <v>0.52</v>
      </c>
      <c r="C900" s="85"/>
      <c r="D900" s="19"/>
      <c r="E900" s="20"/>
    </row>
    <row r="901" spans="1:5" ht="12.95" customHeight="1">
      <c r="A901" s="169">
        <f t="shared" si="83"/>
        <v>26</v>
      </c>
      <c r="B901" s="18">
        <f t="shared" si="82"/>
        <v>0.48</v>
      </c>
      <c r="C901" s="85"/>
      <c r="D901" s="19"/>
      <c r="E901" s="20"/>
    </row>
    <row r="902" spans="1:5" ht="12.95" customHeight="1">
      <c r="A902" s="169">
        <f t="shared" si="83"/>
        <v>28</v>
      </c>
      <c r="B902" s="18">
        <f t="shared" si="82"/>
        <v>0.43999999999999995</v>
      </c>
      <c r="C902" s="85"/>
      <c r="D902" s="19"/>
      <c r="E902" s="20"/>
    </row>
    <row r="903" spans="1:5" ht="12.95" customHeight="1">
      <c r="A903" s="169">
        <f t="shared" si="83"/>
        <v>30</v>
      </c>
      <c r="B903" s="18">
        <f t="shared" si="82"/>
        <v>0.4</v>
      </c>
      <c r="C903" s="85"/>
      <c r="D903" s="19"/>
      <c r="E903" s="20"/>
    </row>
    <row r="904" spans="1:5" ht="12.95" customHeight="1">
      <c r="A904" s="169">
        <f t="shared" si="83"/>
        <v>32</v>
      </c>
      <c r="B904" s="18">
        <f t="shared" si="82"/>
        <v>0.36</v>
      </c>
      <c r="C904" s="85"/>
      <c r="D904" s="19"/>
      <c r="E904" s="20"/>
    </row>
    <row r="905" spans="1:5" ht="12.95" customHeight="1">
      <c r="A905" s="169">
        <f t="shared" si="83"/>
        <v>34</v>
      </c>
      <c r="B905" s="18">
        <f t="shared" si="82"/>
        <v>0.31999999999999995</v>
      </c>
      <c r="C905" s="85"/>
      <c r="D905" s="19"/>
      <c r="E905" s="20"/>
    </row>
    <row r="906" spans="1:5" ht="12.95" customHeight="1">
      <c r="A906" s="169">
        <f t="shared" si="83"/>
        <v>36</v>
      </c>
      <c r="B906" s="18">
        <f t="shared" si="82"/>
        <v>0.28</v>
      </c>
      <c r="C906" s="85"/>
      <c r="D906" s="19"/>
      <c r="E906" s="20"/>
    </row>
    <row r="907" spans="1:5" ht="12.95" customHeight="1">
      <c r="A907" s="169">
        <f t="shared" si="83"/>
        <v>38</v>
      </c>
      <c r="B907" s="18">
        <f t="shared" si="82"/>
        <v>0.24</v>
      </c>
      <c r="C907" s="85"/>
      <c r="D907" s="19"/>
      <c r="E907" s="20"/>
    </row>
    <row r="908" spans="1:5" ht="12.95" customHeight="1">
      <c r="A908" s="169">
        <f t="shared" si="83"/>
        <v>40</v>
      </c>
      <c r="B908" s="18">
        <f t="shared" si="82"/>
        <v>0.19999999999999996</v>
      </c>
      <c r="C908" s="85"/>
      <c r="D908" s="19"/>
      <c r="E908" s="20"/>
    </row>
    <row r="909" spans="1:5" ht="12.95" customHeight="1">
      <c r="A909" s="169">
        <f t="shared" si="83"/>
        <v>42</v>
      </c>
      <c r="B909" s="18">
        <f t="shared" si="82"/>
        <v>0.16000000000000003</v>
      </c>
      <c r="C909" s="85"/>
      <c r="D909" s="19"/>
      <c r="E909" s="20"/>
    </row>
    <row r="910" spans="1:5" ht="12.95" customHeight="1">
      <c r="A910" s="169">
        <f t="shared" si="83"/>
        <v>44</v>
      </c>
      <c r="B910" s="18">
        <f t="shared" si="82"/>
        <v>0.12</v>
      </c>
      <c r="C910" s="85"/>
      <c r="D910" s="19"/>
      <c r="E910" s="20"/>
    </row>
    <row r="911" spans="1:5" ht="12.95" customHeight="1">
      <c r="A911" s="169">
        <f t="shared" si="83"/>
        <v>46</v>
      </c>
      <c r="B911" s="18">
        <f t="shared" si="82"/>
        <v>0.07999999999999996</v>
      </c>
      <c r="C911" s="85"/>
      <c r="D911" s="19"/>
      <c r="E911" s="20"/>
    </row>
    <row r="912" spans="1:5" ht="12.95" customHeight="1">
      <c r="A912" s="169">
        <f t="shared" si="83"/>
        <v>48</v>
      </c>
      <c r="B912" s="18">
        <f t="shared" si="82"/>
        <v>0.040000000000000036</v>
      </c>
      <c r="C912" s="85"/>
      <c r="D912" s="19"/>
      <c r="E912" s="20"/>
    </row>
    <row r="913" spans="1:5" ht="12.95" customHeight="1" thickBot="1">
      <c r="A913" s="170">
        <f t="shared" si="83"/>
        <v>50</v>
      </c>
      <c r="B913" s="46">
        <f t="shared" si="82"/>
        <v>0</v>
      </c>
      <c r="C913" s="92"/>
      <c r="D913" s="24"/>
      <c r="E913" s="25"/>
    </row>
    <row r="914" ht="12.95" customHeight="1" thickTop="1"/>
    <row r="915" ht="12.95" customHeight="1" thickBot="1"/>
    <row r="916" spans="1:5" ht="30" customHeight="1" thickTop="1">
      <c r="A916" s="1" t="s">
        <v>7</v>
      </c>
      <c r="B916" s="2">
        <v>110</v>
      </c>
      <c r="C916" s="3" t="s">
        <v>5</v>
      </c>
      <c r="D916" s="4" t="s">
        <v>201</v>
      </c>
      <c r="E916" s="5" t="s">
        <v>202</v>
      </c>
    </row>
    <row r="917" spans="1:5" ht="30" customHeight="1">
      <c r="A917" s="6" t="s">
        <v>2</v>
      </c>
      <c r="B917" s="7" t="s">
        <v>199</v>
      </c>
      <c r="C917" s="8"/>
      <c r="D917" s="53" t="s">
        <v>203</v>
      </c>
      <c r="E917" s="9" t="s">
        <v>204</v>
      </c>
    </row>
    <row r="918" spans="1:5" ht="30" customHeight="1">
      <c r="A918" s="6" t="s">
        <v>10</v>
      </c>
      <c r="B918" s="7"/>
      <c r="C918" s="8"/>
      <c r="D918" s="53"/>
      <c r="E918" s="97"/>
    </row>
    <row r="919" spans="1:5" ht="30" customHeight="1" thickBot="1">
      <c r="A919" s="6" t="s">
        <v>3</v>
      </c>
      <c r="B919" s="7" t="s">
        <v>166</v>
      </c>
      <c r="C919" s="83"/>
      <c r="D919" s="99"/>
      <c r="E919" s="100"/>
    </row>
    <row r="920" spans="1:5" ht="30" customHeight="1">
      <c r="A920" s="6" t="s">
        <v>4</v>
      </c>
      <c r="B920" s="7" t="s">
        <v>200</v>
      </c>
      <c r="C920" s="10" t="s">
        <v>6</v>
      </c>
      <c r="D920" s="11">
        <v>1.6</v>
      </c>
      <c r="E920" s="58"/>
    </row>
    <row r="921" spans="1:5" ht="30" customHeight="1" thickBot="1">
      <c r="A921" s="12" t="s">
        <v>11</v>
      </c>
      <c r="B921" s="37" t="s">
        <v>66</v>
      </c>
      <c r="C921" s="13" t="s">
        <v>0</v>
      </c>
      <c r="D921" s="14">
        <f>IF(D920&lt;0,"valor del indicador fuera de rango",IF(D920&lt;=1.5,(-0.2*D920)+1,IF(D920&lt;=1.7,(-3.5*D920)+5.95,"valor del indicador fuera rango")))</f>
        <v>0.34999999999999964</v>
      </c>
      <c r="E921" s="59"/>
    </row>
    <row r="922" spans="1:5" ht="30" customHeight="1">
      <c r="A922" s="15" t="s">
        <v>9</v>
      </c>
      <c r="B922" s="16" t="s">
        <v>0</v>
      </c>
      <c r="C922" s="192" t="s">
        <v>8</v>
      </c>
      <c r="D922" s="193"/>
      <c r="E922" s="194"/>
    </row>
    <row r="923" spans="1:5" ht="12.95" customHeight="1">
      <c r="A923" s="153">
        <v>0</v>
      </c>
      <c r="B923" s="18">
        <f aca="true" t="shared" si="84" ref="B923:B938">(-0.2*A923)+1</f>
        <v>1</v>
      </c>
      <c r="C923" s="19"/>
      <c r="D923" s="19"/>
      <c r="E923" s="20"/>
    </row>
    <row r="924" spans="1:5" ht="12.95" customHeight="1">
      <c r="A924" s="153">
        <v>0.1</v>
      </c>
      <c r="B924" s="18">
        <f t="shared" si="84"/>
        <v>0.98</v>
      </c>
      <c r="C924" s="85"/>
      <c r="D924" s="19"/>
      <c r="E924" s="20"/>
    </row>
    <row r="925" spans="1:5" ht="12.95" customHeight="1">
      <c r="A925" s="153">
        <v>0.2</v>
      </c>
      <c r="B925" s="18">
        <f t="shared" si="84"/>
        <v>0.96</v>
      </c>
      <c r="C925" s="85"/>
      <c r="D925" s="19"/>
      <c r="E925" s="20"/>
    </row>
    <row r="926" spans="1:5" ht="12.95" customHeight="1">
      <c r="A926" s="153">
        <v>0.3</v>
      </c>
      <c r="B926" s="18">
        <f t="shared" si="84"/>
        <v>0.94</v>
      </c>
      <c r="C926" s="85"/>
      <c r="D926" s="19"/>
      <c r="E926" s="20"/>
    </row>
    <row r="927" spans="1:5" ht="12.95" customHeight="1">
      <c r="A927" s="153">
        <v>0.4</v>
      </c>
      <c r="B927" s="18">
        <f t="shared" si="84"/>
        <v>0.9199999999999999</v>
      </c>
      <c r="C927" s="85"/>
      <c r="D927" s="19"/>
      <c r="E927" s="20"/>
    </row>
    <row r="928" spans="1:5" ht="12.95" customHeight="1">
      <c r="A928" s="153">
        <v>0.5</v>
      </c>
      <c r="B928" s="18">
        <f t="shared" si="84"/>
        <v>0.9</v>
      </c>
      <c r="C928" s="85"/>
      <c r="D928" s="19"/>
      <c r="E928" s="20"/>
    </row>
    <row r="929" spans="1:5" ht="12.95" customHeight="1">
      <c r="A929" s="153">
        <v>0.6</v>
      </c>
      <c r="B929" s="18">
        <f t="shared" si="84"/>
        <v>0.88</v>
      </c>
      <c r="C929" s="85"/>
      <c r="D929" s="19"/>
      <c r="E929" s="20"/>
    </row>
    <row r="930" spans="1:5" ht="12.95" customHeight="1">
      <c r="A930" s="153">
        <f>+A929+0.1</f>
        <v>0.7</v>
      </c>
      <c r="B930" s="18">
        <f t="shared" si="84"/>
        <v>0.86</v>
      </c>
      <c r="C930" s="85"/>
      <c r="D930" s="19"/>
      <c r="E930" s="20"/>
    </row>
    <row r="931" spans="1:5" ht="12.95" customHeight="1">
      <c r="A931" s="153">
        <f aca="true" t="shared" si="85" ref="A931:A938">+A930+0.1</f>
        <v>0.7999999999999999</v>
      </c>
      <c r="B931" s="18">
        <f t="shared" si="84"/>
        <v>0.84</v>
      </c>
      <c r="C931" s="85"/>
      <c r="D931" s="19"/>
      <c r="E931" s="20"/>
    </row>
    <row r="932" spans="1:5" ht="12.95" customHeight="1">
      <c r="A932" s="153">
        <f t="shared" si="85"/>
        <v>0.8999999999999999</v>
      </c>
      <c r="B932" s="18">
        <f t="shared" si="84"/>
        <v>0.8200000000000001</v>
      </c>
      <c r="C932" s="85"/>
      <c r="D932" s="19"/>
      <c r="E932" s="20"/>
    </row>
    <row r="933" spans="1:5" ht="12.95" customHeight="1">
      <c r="A933" s="153">
        <f t="shared" si="85"/>
        <v>0.9999999999999999</v>
      </c>
      <c r="B933" s="18">
        <f t="shared" si="84"/>
        <v>0.8</v>
      </c>
      <c r="C933" s="85"/>
      <c r="D933" s="19"/>
      <c r="E933" s="20"/>
    </row>
    <row r="934" spans="1:5" ht="12.95" customHeight="1">
      <c r="A934" s="153">
        <f t="shared" si="85"/>
        <v>1.0999999999999999</v>
      </c>
      <c r="B934" s="18">
        <f t="shared" si="84"/>
        <v>0.78</v>
      </c>
      <c r="C934" s="85"/>
      <c r="D934" s="19"/>
      <c r="E934" s="20"/>
    </row>
    <row r="935" spans="1:5" ht="12.95" customHeight="1">
      <c r="A935" s="153">
        <f t="shared" si="85"/>
        <v>1.2</v>
      </c>
      <c r="B935" s="18">
        <f t="shared" si="84"/>
        <v>0.76</v>
      </c>
      <c r="C935" s="85"/>
      <c r="D935" s="19"/>
      <c r="E935" s="20"/>
    </row>
    <row r="936" spans="1:5" ht="12.95" customHeight="1">
      <c r="A936" s="153">
        <f t="shared" si="85"/>
        <v>1.3</v>
      </c>
      <c r="B936" s="18">
        <f t="shared" si="84"/>
        <v>0.74</v>
      </c>
      <c r="C936" s="85"/>
      <c r="D936" s="19"/>
      <c r="E936" s="20"/>
    </row>
    <row r="937" spans="1:5" ht="12.95" customHeight="1">
      <c r="A937" s="153">
        <f t="shared" si="85"/>
        <v>1.4000000000000001</v>
      </c>
      <c r="B937" s="18">
        <f t="shared" si="84"/>
        <v>0.72</v>
      </c>
      <c r="C937" s="85"/>
      <c r="D937" s="19"/>
      <c r="E937" s="20"/>
    </row>
    <row r="938" spans="1:5" ht="12.95" customHeight="1">
      <c r="A938" s="153">
        <f t="shared" si="85"/>
        <v>1.5000000000000002</v>
      </c>
      <c r="B938" s="18">
        <f t="shared" si="84"/>
        <v>0.7</v>
      </c>
      <c r="C938" s="85"/>
      <c r="D938" s="19"/>
      <c r="E938" s="20"/>
    </row>
    <row r="939" spans="1:5" ht="12.95" customHeight="1">
      <c r="A939" s="154">
        <v>1.5</v>
      </c>
      <c r="B939" s="54">
        <f>(-3.5*A939)+5.95</f>
        <v>0.7000000000000002</v>
      </c>
      <c r="C939" s="85"/>
      <c r="D939" s="19"/>
      <c r="E939" s="20"/>
    </row>
    <row r="940" spans="1:5" ht="12.95" customHeight="1">
      <c r="A940" s="154">
        <f>+A939+0.05</f>
        <v>1.55</v>
      </c>
      <c r="B940" s="54">
        <f>(-3.5*A940)+5.95</f>
        <v>0.5250000000000004</v>
      </c>
      <c r="C940" s="85"/>
      <c r="D940" s="19"/>
      <c r="E940" s="20"/>
    </row>
    <row r="941" spans="1:5" ht="12.95" customHeight="1">
      <c r="A941" s="154">
        <f>+A940+0.05</f>
        <v>1.6</v>
      </c>
      <c r="B941" s="54">
        <f>(-3.5*A941)+5.95</f>
        <v>0.34999999999999964</v>
      </c>
      <c r="C941" s="85"/>
      <c r="D941" s="19"/>
      <c r="E941" s="20"/>
    </row>
    <row r="942" spans="1:5" ht="12.95" customHeight="1">
      <c r="A942" s="154">
        <f>+A941+0.05</f>
        <v>1.6500000000000001</v>
      </c>
      <c r="B942" s="54">
        <f>(-3.5*A942)+5.95</f>
        <v>0.17499999999999982</v>
      </c>
      <c r="C942" s="85"/>
      <c r="D942" s="19"/>
      <c r="E942" s="20"/>
    </row>
    <row r="943" spans="1:5" ht="12.95" customHeight="1" thickBot="1">
      <c r="A943" s="171">
        <f>+A942+0.05</f>
        <v>1.7000000000000002</v>
      </c>
      <c r="B943" s="91">
        <f>(-3.5*A943)+5.95</f>
        <v>0</v>
      </c>
      <c r="C943" s="92"/>
      <c r="D943" s="24"/>
      <c r="E943" s="25"/>
    </row>
    <row r="944" ht="12.95" customHeight="1" thickTop="1"/>
    <row r="945" ht="12.95" customHeight="1" thickBot="1"/>
    <row r="946" spans="1:5" ht="30" customHeight="1" thickTop="1">
      <c r="A946" s="1" t="s">
        <v>7</v>
      </c>
      <c r="B946" s="2">
        <v>111</v>
      </c>
      <c r="C946" s="3" t="s">
        <v>5</v>
      </c>
      <c r="D946" s="4" t="s">
        <v>206</v>
      </c>
      <c r="E946" s="5" t="s">
        <v>207</v>
      </c>
    </row>
    <row r="947" spans="1:5" ht="30" customHeight="1">
      <c r="A947" s="6" t="s">
        <v>2</v>
      </c>
      <c r="B947" s="7" t="s">
        <v>208</v>
      </c>
      <c r="C947" s="8"/>
      <c r="D947" s="53" t="s">
        <v>209</v>
      </c>
      <c r="E947" s="9" t="s">
        <v>210</v>
      </c>
    </row>
    <row r="948" spans="1:5" ht="30" customHeight="1">
      <c r="A948" s="6" t="s">
        <v>10</v>
      </c>
      <c r="B948" s="7"/>
      <c r="C948" s="8"/>
      <c r="D948" s="55"/>
      <c r="E948" s="9"/>
    </row>
    <row r="949" spans="1:5" ht="30" customHeight="1" thickBot="1">
      <c r="A949" s="6" t="s">
        <v>3</v>
      </c>
      <c r="B949" s="7" t="s">
        <v>166</v>
      </c>
      <c r="C949" s="83"/>
      <c r="D949" s="56"/>
      <c r="E949" s="57"/>
    </row>
    <row r="950" spans="1:5" ht="30" customHeight="1">
      <c r="A950" s="6" t="s">
        <v>4</v>
      </c>
      <c r="B950" s="7" t="s">
        <v>205</v>
      </c>
      <c r="C950" s="10" t="s">
        <v>6</v>
      </c>
      <c r="D950" s="11">
        <v>0.8</v>
      </c>
      <c r="E950" s="58"/>
    </row>
    <row r="951" spans="1:5" ht="30" customHeight="1" thickBot="1">
      <c r="A951" s="12" t="s">
        <v>11</v>
      </c>
      <c r="B951" s="37" t="s">
        <v>66</v>
      </c>
      <c r="C951" s="13" t="s">
        <v>0</v>
      </c>
      <c r="D951" s="14">
        <f>IF(D950&lt;0,"valor del indicador fuera de rango",IF(D950&lt;=0.3,-D950+1,IF(D950&lt;=2,-0.412*D950+0.824,"valor del indicador fuera rango")))</f>
        <v>0.49439999999999995</v>
      </c>
      <c r="E951" s="59"/>
    </row>
    <row r="952" spans="1:5" ht="30" customHeight="1">
      <c r="A952" s="15" t="s">
        <v>9</v>
      </c>
      <c r="B952" s="16" t="s">
        <v>0</v>
      </c>
      <c r="C952" s="192" t="s">
        <v>8</v>
      </c>
      <c r="D952" s="193"/>
      <c r="E952" s="194"/>
    </row>
    <row r="953" spans="1:5" ht="12.95" customHeight="1">
      <c r="A953" s="88">
        <v>0</v>
      </c>
      <c r="B953" s="18">
        <f>-A953+1</f>
        <v>1</v>
      </c>
      <c r="C953" s="19"/>
      <c r="D953" s="19"/>
      <c r="E953" s="20"/>
    </row>
    <row r="954" spans="1:5" ht="12.95" customHeight="1">
      <c r="A954" s="88">
        <v>0.1</v>
      </c>
      <c r="B954" s="18">
        <f>-A954+1</f>
        <v>0.9</v>
      </c>
      <c r="C954" s="85"/>
      <c r="D954" s="19"/>
      <c r="E954" s="20"/>
    </row>
    <row r="955" spans="1:5" ht="12.95" customHeight="1">
      <c r="A955" s="88">
        <v>0.2</v>
      </c>
      <c r="B955" s="18">
        <f>-A955+1</f>
        <v>0.8</v>
      </c>
      <c r="C955" s="85"/>
      <c r="D955" s="19"/>
      <c r="E955" s="20"/>
    </row>
    <row r="956" spans="1:5" ht="12.95" customHeight="1">
      <c r="A956" s="88">
        <v>0.3</v>
      </c>
      <c r="B956" s="18">
        <f>-A956+1</f>
        <v>0.7</v>
      </c>
      <c r="C956" s="85"/>
      <c r="D956" s="19"/>
      <c r="E956" s="20"/>
    </row>
    <row r="957" spans="1:5" ht="12.95" customHeight="1">
      <c r="A957" s="89">
        <v>0.4</v>
      </c>
      <c r="B957" s="54">
        <f>-0.412*A957+0.824</f>
        <v>0.6592</v>
      </c>
      <c r="C957" s="85"/>
      <c r="D957" s="19"/>
      <c r="E957" s="20"/>
    </row>
    <row r="958" spans="1:5" ht="12.95" customHeight="1">
      <c r="A958" s="89">
        <v>0.5</v>
      </c>
      <c r="B958" s="54">
        <f aca="true" t="shared" si="86" ref="B958:B973">-0.412*A958+0.824</f>
        <v>0.618</v>
      </c>
      <c r="C958" s="85"/>
      <c r="D958" s="19"/>
      <c r="E958" s="20"/>
    </row>
    <row r="959" spans="1:5" ht="12.95" customHeight="1">
      <c r="A959" s="89">
        <v>0.6</v>
      </c>
      <c r="B959" s="54">
        <f t="shared" si="86"/>
        <v>0.5768</v>
      </c>
      <c r="C959" s="85"/>
      <c r="D959" s="19"/>
      <c r="E959" s="20"/>
    </row>
    <row r="960" spans="1:5" ht="12.95" customHeight="1">
      <c r="A960" s="89">
        <f>+A959+0.1</f>
        <v>0.7</v>
      </c>
      <c r="B960" s="54">
        <f t="shared" si="86"/>
        <v>0.5356</v>
      </c>
      <c r="C960" s="85"/>
      <c r="D960" s="19"/>
      <c r="E960" s="20"/>
    </row>
    <row r="961" spans="1:5" ht="12.95" customHeight="1">
      <c r="A961" s="89">
        <f aca="true" t="shared" si="87" ref="A961:A973">+A960+0.1</f>
        <v>0.7999999999999999</v>
      </c>
      <c r="B961" s="54">
        <f t="shared" si="86"/>
        <v>0.4944</v>
      </c>
      <c r="C961" s="85"/>
      <c r="D961" s="19"/>
      <c r="E961" s="20"/>
    </row>
    <row r="962" spans="1:5" ht="12.95" customHeight="1">
      <c r="A962" s="89">
        <f t="shared" si="87"/>
        <v>0.8999999999999999</v>
      </c>
      <c r="B962" s="54">
        <f t="shared" si="86"/>
        <v>0.4532</v>
      </c>
      <c r="C962" s="85"/>
      <c r="D962" s="19"/>
      <c r="E962" s="20"/>
    </row>
    <row r="963" spans="1:5" ht="12.95" customHeight="1">
      <c r="A963" s="89">
        <f t="shared" si="87"/>
        <v>0.9999999999999999</v>
      </c>
      <c r="B963" s="54">
        <f t="shared" si="86"/>
        <v>0.41200000000000003</v>
      </c>
      <c r="C963" s="85"/>
      <c r="D963" s="19"/>
      <c r="E963" s="20"/>
    </row>
    <row r="964" spans="1:5" ht="12.95" customHeight="1">
      <c r="A964" s="89">
        <f t="shared" si="87"/>
        <v>1.0999999999999999</v>
      </c>
      <c r="B964" s="54">
        <f t="shared" si="86"/>
        <v>0.3708</v>
      </c>
      <c r="C964" s="85"/>
      <c r="D964" s="19"/>
      <c r="E964" s="20"/>
    </row>
    <row r="965" spans="1:5" ht="12.95" customHeight="1">
      <c r="A965" s="89">
        <f t="shared" si="87"/>
        <v>1.2</v>
      </c>
      <c r="B965" s="54">
        <f t="shared" si="86"/>
        <v>0.3296</v>
      </c>
      <c r="C965" s="85"/>
      <c r="D965" s="19"/>
      <c r="E965" s="20"/>
    </row>
    <row r="966" spans="1:5" ht="12.95" customHeight="1">
      <c r="A966" s="89">
        <f t="shared" si="87"/>
        <v>1.3</v>
      </c>
      <c r="B966" s="54">
        <f t="shared" si="86"/>
        <v>0.2884</v>
      </c>
      <c r="C966" s="85"/>
      <c r="D966" s="19"/>
      <c r="E966" s="20"/>
    </row>
    <row r="967" spans="1:5" ht="12.95" customHeight="1">
      <c r="A967" s="89">
        <f t="shared" si="87"/>
        <v>1.4000000000000001</v>
      </c>
      <c r="B967" s="54">
        <f t="shared" si="86"/>
        <v>0.24719999999999998</v>
      </c>
      <c r="C967" s="85"/>
      <c r="D967" s="19"/>
      <c r="E967" s="20"/>
    </row>
    <row r="968" spans="1:5" ht="12.95" customHeight="1">
      <c r="A968" s="89">
        <f t="shared" si="87"/>
        <v>1.5000000000000002</v>
      </c>
      <c r="B968" s="54">
        <f t="shared" si="86"/>
        <v>0.20599999999999985</v>
      </c>
      <c r="C968" s="85"/>
      <c r="D968" s="19"/>
      <c r="E968" s="20"/>
    </row>
    <row r="969" spans="1:5" ht="12.95" customHeight="1">
      <c r="A969" s="89">
        <f t="shared" si="87"/>
        <v>1.6000000000000003</v>
      </c>
      <c r="B969" s="54">
        <f t="shared" si="86"/>
        <v>0.16479999999999984</v>
      </c>
      <c r="C969" s="85"/>
      <c r="D969" s="19"/>
      <c r="E969" s="20"/>
    </row>
    <row r="970" spans="1:5" ht="12.95" customHeight="1">
      <c r="A970" s="89">
        <f t="shared" si="87"/>
        <v>1.7000000000000004</v>
      </c>
      <c r="B970" s="54">
        <f t="shared" si="86"/>
        <v>0.12359999999999982</v>
      </c>
      <c r="C970" s="85"/>
      <c r="D970" s="19"/>
      <c r="E970" s="20"/>
    </row>
    <row r="971" spans="1:5" ht="12.95" customHeight="1">
      <c r="A971" s="89">
        <f t="shared" si="87"/>
        <v>1.8000000000000005</v>
      </c>
      <c r="B971" s="54">
        <f t="shared" si="86"/>
        <v>0.0823999999999998</v>
      </c>
      <c r="C971" s="85"/>
      <c r="D971" s="19"/>
      <c r="E971" s="20"/>
    </row>
    <row r="972" spans="1:5" ht="12.95" customHeight="1">
      <c r="A972" s="89">
        <f t="shared" si="87"/>
        <v>1.9000000000000006</v>
      </c>
      <c r="B972" s="54">
        <f t="shared" si="86"/>
        <v>0.04119999999999979</v>
      </c>
      <c r="C972" s="85"/>
      <c r="D972" s="19"/>
      <c r="E972" s="20"/>
    </row>
    <row r="973" spans="1:5" ht="12.95" customHeight="1" thickBot="1">
      <c r="A973" s="90">
        <f t="shared" si="87"/>
        <v>2.0000000000000004</v>
      </c>
      <c r="B973" s="91">
        <f t="shared" si="86"/>
        <v>0</v>
      </c>
      <c r="C973" s="92"/>
      <c r="D973" s="24"/>
      <c r="E973" s="25"/>
    </row>
    <row r="974" ht="12.95" customHeight="1" thickTop="1"/>
    <row r="975" ht="12.95" customHeight="1" thickBot="1"/>
    <row r="976" spans="1:5" ht="30" customHeight="1" thickTop="1">
      <c r="A976" s="1" t="s">
        <v>7</v>
      </c>
      <c r="B976" s="2">
        <v>112</v>
      </c>
      <c r="C976" s="3" t="s">
        <v>5</v>
      </c>
      <c r="D976" s="4" t="s">
        <v>212</v>
      </c>
      <c r="E976" s="5" t="s">
        <v>159</v>
      </c>
    </row>
    <row r="977" spans="1:5" ht="30" customHeight="1">
      <c r="A977" s="6" t="s">
        <v>2</v>
      </c>
      <c r="B977" s="7" t="s">
        <v>211</v>
      </c>
      <c r="C977" s="8"/>
      <c r="D977" s="53" t="s">
        <v>213</v>
      </c>
      <c r="E977" s="9" t="s">
        <v>214</v>
      </c>
    </row>
    <row r="978" spans="1:5" ht="30" customHeight="1">
      <c r="A978" s="6" t="s">
        <v>10</v>
      </c>
      <c r="B978" s="7"/>
      <c r="C978" s="8"/>
      <c r="D978" s="55" t="s">
        <v>215</v>
      </c>
      <c r="E978" s="9" t="s">
        <v>216</v>
      </c>
    </row>
    <row r="979" spans="1:5" ht="30" customHeight="1" thickBot="1">
      <c r="A979" s="6" t="s">
        <v>3</v>
      </c>
      <c r="B979" s="7" t="s">
        <v>166</v>
      </c>
      <c r="C979" s="83"/>
      <c r="D979" s="56"/>
      <c r="E979" s="57"/>
    </row>
    <row r="980" spans="1:5" ht="30" customHeight="1">
      <c r="A980" s="6" t="s">
        <v>4</v>
      </c>
      <c r="B980" s="7" t="s">
        <v>143</v>
      </c>
      <c r="C980" s="10" t="s">
        <v>6</v>
      </c>
      <c r="D980" s="11">
        <v>0.08</v>
      </c>
      <c r="E980" s="58"/>
    </row>
    <row r="981" spans="1:5" ht="30" customHeight="1" thickBot="1">
      <c r="A981" s="12" t="s">
        <v>11</v>
      </c>
      <c r="B981" s="37" t="s">
        <v>66</v>
      </c>
      <c r="C981" s="13" t="s">
        <v>0</v>
      </c>
      <c r="D981" s="14">
        <f>IF(D980&lt;0,"valor del indicador fuera de rango",IF(D980&lt;=0.05,-6*D980+1,IF(D980&lt;=0.1,-8*D980+1.1,IF(D980&lt;=1,-0.333*D980+0.333,"valor del indicador fuera rango"))))</f>
        <v>0.4600000000000001</v>
      </c>
      <c r="E981" s="59"/>
    </row>
    <row r="982" spans="1:5" ht="30" customHeight="1">
      <c r="A982" s="15" t="s">
        <v>9</v>
      </c>
      <c r="B982" s="16" t="s">
        <v>0</v>
      </c>
      <c r="C982" s="192" t="s">
        <v>8</v>
      </c>
      <c r="D982" s="193"/>
      <c r="E982" s="194"/>
    </row>
    <row r="983" spans="1:5" ht="12.95" customHeight="1">
      <c r="A983" s="142">
        <v>0</v>
      </c>
      <c r="B983" s="18">
        <f aca="true" t="shared" si="88" ref="B983:B988">-6*A983+1</f>
        <v>1</v>
      </c>
      <c r="C983" s="19"/>
      <c r="D983" s="19"/>
      <c r="E983" s="20"/>
    </row>
    <row r="984" spans="1:5" ht="12.95" customHeight="1">
      <c r="A984" s="142">
        <f>+A983+0.01</f>
        <v>0.01</v>
      </c>
      <c r="B984" s="18">
        <f t="shared" si="88"/>
        <v>0.94</v>
      </c>
      <c r="C984" s="85"/>
      <c r="D984" s="19"/>
      <c r="E984" s="20"/>
    </row>
    <row r="985" spans="1:5" ht="12.95" customHeight="1">
      <c r="A985" s="142">
        <f aca="true" t="shared" si="89" ref="A985:A993">+A984+0.01</f>
        <v>0.02</v>
      </c>
      <c r="B985" s="18">
        <f t="shared" si="88"/>
        <v>0.88</v>
      </c>
      <c r="C985" s="85"/>
      <c r="D985" s="19"/>
      <c r="E985" s="20"/>
    </row>
    <row r="986" spans="1:5" ht="12.95" customHeight="1">
      <c r="A986" s="142">
        <f t="shared" si="89"/>
        <v>0.03</v>
      </c>
      <c r="B986" s="18">
        <f t="shared" si="88"/>
        <v>0.8200000000000001</v>
      </c>
      <c r="C986" s="85"/>
      <c r="D986" s="19"/>
      <c r="E986" s="20"/>
    </row>
    <row r="987" spans="1:5" ht="12.95" customHeight="1">
      <c r="A987" s="142">
        <f t="shared" si="89"/>
        <v>0.04</v>
      </c>
      <c r="B987" s="18">
        <f t="shared" si="88"/>
        <v>0.76</v>
      </c>
      <c r="C987" s="85"/>
      <c r="D987" s="19"/>
      <c r="E987" s="20"/>
    </row>
    <row r="988" spans="1:5" ht="12.95" customHeight="1">
      <c r="A988" s="142">
        <f t="shared" si="89"/>
        <v>0.05</v>
      </c>
      <c r="B988" s="18">
        <f t="shared" si="88"/>
        <v>0.7</v>
      </c>
      <c r="C988" s="85"/>
      <c r="D988" s="19"/>
      <c r="E988" s="20"/>
    </row>
    <row r="989" spans="1:5" ht="12.95" customHeight="1">
      <c r="A989" s="143">
        <f t="shared" si="89"/>
        <v>0.060000000000000005</v>
      </c>
      <c r="B989" s="54">
        <f>-8*A989+1.1</f>
        <v>0.6200000000000001</v>
      </c>
      <c r="C989" s="85"/>
      <c r="D989" s="19"/>
      <c r="E989" s="20"/>
    </row>
    <row r="990" spans="1:5" ht="12.95" customHeight="1">
      <c r="A990" s="143">
        <f t="shared" si="89"/>
        <v>0.07</v>
      </c>
      <c r="B990" s="54">
        <f>-8*A990+1.1</f>
        <v>0.54</v>
      </c>
      <c r="C990" s="85"/>
      <c r="D990" s="19"/>
      <c r="E990" s="20"/>
    </row>
    <row r="991" spans="1:5" ht="12.95" customHeight="1">
      <c r="A991" s="143">
        <f t="shared" si="89"/>
        <v>0.08</v>
      </c>
      <c r="B991" s="54">
        <f>-8*A991+1.1</f>
        <v>0.4600000000000001</v>
      </c>
      <c r="C991" s="85"/>
      <c r="D991" s="19"/>
      <c r="E991" s="20"/>
    </row>
    <row r="992" spans="1:5" ht="12.95" customHeight="1">
      <c r="A992" s="143">
        <f t="shared" si="89"/>
        <v>0.09</v>
      </c>
      <c r="B992" s="54">
        <f>-8*A992+1.1</f>
        <v>0.3800000000000001</v>
      </c>
      <c r="C992" s="85"/>
      <c r="D992" s="19"/>
      <c r="E992" s="20"/>
    </row>
    <row r="993" spans="1:5" ht="12.95" customHeight="1">
      <c r="A993" s="143">
        <f t="shared" si="89"/>
        <v>0.09999999999999999</v>
      </c>
      <c r="B993" s="54">
        <f>-8*A993+1.1</f>
        <v>0.30000000000000016</v>
      </c>
      <c r="C993" s="85"/>
      <c r="D993" s="19"/>
      <c r="E993" s="20"/>
    </row>
    <row r="994" spans="1:5" ht="12.95" customHeight="1">
      <c r="A994" s="144">
        <v>0.1</v>
      </c>
      <c r="B994" s="131">
        <f aca="true" t="shared" si="90" ref="B994:B1003">-0.333*A994+0.333</f>
        <v>0.2997</v>
      </c>
      <c r="C994" s="85"/>
      <c r="D994" s="19"/>
      <c r="E994" s="20"/>
    </row>
    <row r="995" spans="1:5" ht="12.95" customHeight="1">
      <c r="A995" s="144">
        <f aca="true" t="shared" si="91" ref="A995:A1003">+A994+0.1</f>
        <v>0.2</v>
      </c>
      <c r="B995" s="131">
        <f t="shared" si="90"/>
        <v>0.2664</v>
      </c>
      <c r="C995" s="85"/>
      <c r="D995" s="19"/>
      <c r="E995" s="20"/>
    </row>
    <row r="996" spans="1:5" ht="12.95" customHeight="1">
      <c r="A996" s="144">
        <f t="shared" si="91"/>
        <v>0.30000000000000004</v>
      </c>
      <c r="B996" s="131">
        <f t="shared" si="90"/>
        <v>0.2331</v>
      </c>
      <c r="C996" s="85"/>
      <c r="D996" s="19"/>
      <c r="E996" s="20"/>
    </row>
    <row r="997" spans="1:5" ht="12.95" customHeight="1">
      <c r="A997" s="144">
        <f t="shared" si="91"/>
        <v>0.4</v>
      </c>
      <c r="B997" s="131">
        <f t="shared" si="90"/>
        <v>0.1998</v>
      </c>
      <c r="C997" s="85"/>
      <c r="D997" s="19"/>
      <c r="E997" s="20"/>
    </row>
    <row r="998" spans="1:5" ht="12.95" customHeight="1">
      <c r="A998" s="144">
        <f t="shared" si="91"/>
        <v>0.5</v>
      </c>
      <c r="B998" s="131">
        <f t="shared" si="90"/>
        <v>0.1665</v>
      </c>
      <c r="C998" s="85"/>
      <c r="D998" s="19"/>
      <c r="E998" s="20"/>
    </row>
    <row r="999" spans="1:5" ht="12.95" customHeight="1">
      <c r="A999" s="144">
        <f t="shared" si="91"/>
        <v>0.6</v>
      </c>
      <c r="B999" s="131">
        <f t="shared" si="90"/>
        <v>0.1332</v>
      </c>
      <c r="C999" s="85"/>
      <c r="D999" s="19"/>
      <c r="E999" s="20"/>
    </row>
    <row r="1000" spans="1:5" ht="12.95" customHeight="1">
      <c r="A1000" s="144">
        <f t="shared" si="91"/>
        <v>0.7</v>
      </c>
      <c r="B1000" s="131">
        <f t="shared" si="90"/>
        <v>0.09990000000000002</v>
      </c>
      <c r="C1000" s="85"/>
      <c r="D1000" s="19"/>
      <c r="E1000" s="20"/>
    </row>
    <row r="1001" spans="1:5" ht="12.95" customHeight="1">
      <c r="A1001" s="144">
        <f t="shared" si="91"/>
        <v>0.7999999999999999</v>
      </c>
      <c r="B1001" s="131">
        <f t="shared" si="90"/>
        <v>0.06660000000000005</v>
      </c>
      <c r="C1001" s="85"/>
      <c r="D1001" s="19"/>
      <c r="E1001" s="20"/>
    </row>
    <row r="1002" spans="1:5" ht="12.95" customHeight="1">
      <c r="A1002" s="144">
        <f t="shared" si="91"/>
        <v>0.8999999999999999</v>
      </c>
      <c r="B1002" s="131">
        <f t="shared" si="90"/>
        <v>0.03330000000000005</v>
      </c>
      <c r="C1002" s="85"/>
      <c r="D1002" s="19"/>
      <c r="E1002" s="20"/>
    </row>
    <row r="1003" spans="1:5" ht="12.95" customHeight="1" thickBot="1">
      <c r="A1003" s="145">
        <f t="shared" si="91"/>
        <v>0.9999999999999999</v>
      </c>
      <c r="B1003" s="133">
        <f t="shared" si="90"/>
        <v>0</v>
      </c>
      <c r="C1003" s="92"/>
      <c r="D1003" s="24"/>
      <c r="E1003" s="25"/>
    </row>
    <row r="1004" ht="12.95" customHeight="1" thickTop="1"/>
    <row r="1005" ht="12.95" customHeight="1" thickBot="1"/>
    <row r="1006" spans="1:5" ht="30" customHeight="1" thickTop="1">
      <c r="A1006" s="1" t="s">
        <v>7</v>
      </c>
      <c r="B1006" s="2">
        <v>113</v>
      </c>
      <c r="C1006" s="3" t="s">
        <v>5</v>
      </c>
      <c r="D1006" s="4" t="s">
        <v>217</v>
      </c>
      <c r="E1006" s="5" t="s">
        <v>159</v>
      </c>
    </row>
    <row r="1007" spans="1:5" ht="30" customHeight="1">
      <c r="A1007" s="6" t="s">
        <v>2</v>
      </c>
      <c r="B1007" s="7" t="s">
        <v>221</v>
      </c>
      <c r="C1007" s="8"/>
      <c r="D1007" s="53" t="s">
        <v>218</v>
      </c>
      <c r="E1007" s="9" t="s">
        <v>219</v>
      </c>
    </row>
    <row r="1008" spans="1:5" ht="30" customHeight="1">
      <c r="A1008" s="6" t="s">
        <v>10</v>
      </c>
      <c r="B1008" s="7"/>
      <c r="C1008" s="8"/>
      <c r="D1008" s="55"/>
      <c r="E1008" s="9"/>
    </row>
    <row r="1009" spans="1:5" ht="30" customHeight="1" thickBot="1">
      <c r="A1009" s="6" t="s">
        <v>3</v>
      </c>
      <c r="B1009" s="7" t="s">
        <v>166</v>
      </c>
      <c r="C1009" s="83"/>
      <c r="D1009" s="56"/>
      <c r="E1009" s="57"/>
    </row>
    <row r="1010" spans="1:5" ht="30" customHeight="1">
      <c r="A1010" s="6" t="s">
        <v>4</v>
      </c>
      <c r="B1010" s="7" t="s">
        <v>143</v>
      </c>
      <c r="C1010" s="10" t="s">
        <v>6</v>
      </c>
      <c r="D1010" s="11">
        <v>0.12</v>
      </c>
      <c r="E1010" s="58"/>
    </row>
    <row r="1011" spans="1:5" ht="30" customHeight="1" thickBot="1">
      <c r="A1011" s="12" t="s">
        <v>11</v>
      </c>
      <c r="B1011" s="37" t="s">
        <v>66</v>
      </c>
      <c r="C1011" s="13" t="s">
        <v>0</v>
      </c>
      <c r="D1011" s="14">
        <f>IF(D1010&lt;0,"valor del indicador fuera de rango",IF(D1010&lt;=0.05,-14*D1010+1,IF(ID1010&lt;=1,-0.316*D1010+0.316,"valor del indicador fuera rango")))</f>
        <v>0.27808</v>
      </c>
      <c r="E1011" s="59"/>
    </row>
    <row r="1012" spans="1:5" ht="30" customHeight="1">
      <c r="A1012" s="15" t="s">
        <v>9</v>
      </c>
      <c r="B1012" s="16" t="s">
        <v>0</v>
      </c>
      <c r="C1012" s="192" t="s">
        <v>8</v>
      </c>
      <c r="D1012" s="193"/>
      <c r="E1012" s="194"/>
    </row>
    <row r="1013" spans="1:5" ht="12.95" customHeight="1">
      <c r="A1013" s="142">
        <v>0</v>
      </c>
      <c r="B1013" s="18">
        <f aca="true" t="shared" si="92" ref="B1013:B1018">-14*A1013+1</f>
        <v>1</v>
      </c>
      <c r="C1013" s="19"/>
      <c r="D1013" s="19"/>
      <c r="E1013" s="20"/>
    </row>
    <row r="1014" spans="1:5" ht="12.95" customHeight="1">
      <c r="A1014" s="142">
        <f>+A1013+0.01</f>
        <v>0.01</v>
      </c>
      <c r="B1014" s="18">
        <f t="shared" si="92"/>
        <v>0.86</v>
      </c>
      <c r="C1014" s="85"/>
      <c r="D1014" s="19"/>
      <c r="E1014" s="20"/>
    </row>
    <row r="1015" spans="1:5" ht="12.95" customHeight="1">
      <c r="A1015" s="142">
        <f aca="true" t="shared" si="93" ref="A1015:A1023">+A1014+0.01</f>
        <v>0.02</v>
      </c>
      <c r="B1015" s="18">
        <f t="shared" si="92"/>
        <v>0.72</v>
      </c>
      <c r="C1015" s="85"/>
      <c r="D1015" s="19"/>
      <c r="E1015" s="20"/>
    </row>
    <row r="1016" spans="1:5" ht="12.95" customHeight="1">
      <c r="A1016" s="142">
        <f t="shared" si="93"/>
        <v>0.03</v>
      </c>
      <c r="B1016" s="18">
        <f t="shared" si="92"/>
        <v>0.5800000000000001</v>
      </c>
      <c r="C1016" s="85"/>
      <c r="D1016" s="19"/>
      <c r="E1016" s="20"/>
    </row>
    <row r="1017" spans="1:5" ht="12.95" customHeight="1">
      <c r="A1017" s="142">
        <f t="shared" si="93"/>
        <v>0.04</v>
      </c>
      <c r="B1017" s="18">
        <f t="shared" si="92"/>
        <v>0.43999999999999995</v>
      </c>
      <c r="C1017" s="85"/>
      <c r="D1017" s="19"/>
      <c r="E1017" s="20"/>
    </row>
    <row r="1018" spans="1:5" ht="12.95" customHeight="1">
      <c r="A1018" s="142">
        <f t="shared" si="93"/>
        <v>0.05</v>
      </c>
      <c r="B1018" s="18">
        <f t="shared" si="92"/>
        <v>0.29999999999999993</v>
      </c>
      <c r="C1018" s="85"/>
      <c r="D1018" s="19"/>
      <c r="E1018" s="20"/>
    </row>
    <row r="1019" spans="1:5" ht="12.95" customHeight="1">
      <c r="A1019" s="143">
        <f t="shared" si="93"/>
        <v>0.060000000000000005</v>
      </c>
      <c r="B1019" s="54">
        <f aca="true" t="shared" si="94" ref="B1019:B1033">-0.316*A1019+0.316</f>
        <v>0.29704</v>
      </c>
      <c r="C1019" s="85"/>
      <c r="D1019" s="19"/>
      <c r="E1019" s="20"/>
    </row>
    <row r="1020" spans="1:5" ht="12.95" customHeight="1">
      <c r="A1020" s="143">
        <f t="shared" si="93"/>
        <v>0.07</v>
      </c>
      <c r="B1020" s="54">
        <f t="shared" si="94"/>
        <v>0.29388000000000003</v>
      </c>
      <c r="C1020" s="85"/>
      <c r="D1020" s="19"/>
      <c r="E1020" s="20"/>
    </row>
    <row r="1021" spans="1:5" ht="12.95" customHeight="1">
      <c r="A1021" s="143">
        <f t="shared" si="93"/>
        <v>0.08</v>
      </c>
      <c r="B1021" s="54">
        <f t="shared" si="94"/>
        <v>0.29072</v>
      </c>
      <c r="C1021" s="85"/>
      <c r="D1021" s="19"/>
      <c r="E1021" s="20"/>
    </row>
    <row r="1022" spans="1:5" ht="12.95" customHeight="1">
      <c r="A1022" s="143">
        <f t="shared" si="93"/>
        <v>0.09</v>
      </c>
      <c r="B1022" s="54">
        <f t="shared" si="94"/>
        <v>0.28756</v>
      </c>
      <c r="C1022" s="85"/>
      <c r="D1022" s="19"/>
      <c r="E1022" s="20"/>
    </row>
    <row r="1023" spans="1:5" ht="12.95" customHeight="1">
      <c r="A1023" s="143">
        <f t="shared" si="93"/>
        <v>0.09999999999999999</v>
      </c>
      <c r="B1023" s="54">
        <f t="shared" si="94"/>
        <v>0.2844</v>
      </c>
      <c r="C1023" s="85"/>
      <c r="D1023" s="19"/>
      <c r="E1023" s="20"/>
    </row>
    <row r="1024" spans="1:5" ht="12.95" customHeight="1">
      <c r="A1024" s="143">
        <v>0.1</v>
      </c>
      <c r="B1024" s="54">
        <f t="shared" si="94"/>
        <v>0.2844</v>
      </c>
      <c r="C1024" s="85"/>
      <c r="D1024" s="19"/>
      <c r="E1024" s="20"/>
    </row>
    <row r="1025" spans="1:5" ht="12.95" customHeight="1">
      <c r="A1025" s="143">
        <f aca="true" t="shared" si="95" ref="A1025:A1033">+A1024+0.1</f>
        <v>0.2</v>
      </c>
      <c r="B1025" s="54">
        <f t="shared" si="94"/>
        <v>0.2528</v>
      </c>
      <c r="C1025" s="85"/>
      <c r="D1025" s="19"/>
      <c r="E1025" s="20"/>
    </row>
    <row r="1026" spans="1:5" ht="12.95" customHeight="1">
      <c r="A1026" s="143">
        <f t="shared" si="95"/>
        <v>0.30000000000000004</v>
      </c>
      <c r="B1026" s="54">
        <f t="shared" si="94"/>
        <v>0.2212</v>
      </c>
      <c r="C1026" s="85"/>
      <c r="D1026" s="19"/>
      <c r="E1026" s="20"/>
    </row>
    <row r="1027" spans="1:5" ht="12.95" customHeight="1">
      <c r="A1027" s="143">
        <f t="shared" si="95"/>
        <v>0.4</v>
      </c>
      <c r="B1027" s="54">
        <f t="shared" si="94"/>
        <v>0.1896</v>
      </c>
      <c r="C1027" s="85"/>
      <c r="D1027" s="19"/>
      <c r="E1027" s="20"/>
    </row>
    <row r="1028" spans="1:5" ht="12.95" customHeight="1">
      <c r="A1028" s="143">
        <f t="shared" si="95"/>
        <v>0.5</v>
      </c>
      <c r="B1028" s="54">
        <f t="shared" si="94"/>
        <v>0.158</v>
      </c>
      <c r="C1028" s="85"/>
      <c r="D1028" s="19"/>
      <c r="E1028" s="20"/>
    </row>
    <row r="1029" spans="1:5" ht="12.95" customHeight="1">
      <c r="A1029" s="143">
        <f t="shared" si="95"/>
        <v>0.6</v>
      </c>
      <c r="B1029" s="54">
        <f t="shared" si="94"/>
        <v>0.1264</v>
      </c>
      <c r="C1029" s="85"/>
      <c r="D1029" s="19"/>
      <c r="E1029" s="20"/>
    </row>
    <row r="1030" spans="1:5" ht="12.95" customHeight="1">
      <c r="A1030" s="143">
        <f t="shared" si="95"/>
        <v>0.7</v>
      </c>
      <c r="B1030" s="54">
        <f t="shared" si="94"/>
        <v>0.09480000000000002</v>
      </c>
      <c r="C1030" s="85"/>
      <c r="D1030" s="19"/>
      <c r="E1030" s="20"/>
    </row>
    <row r="1031" spans="1:5" ht="12.95" customHeight="1">
      <c r="A1031" s="143">
        <f t="shared" si="95"/>
        <v>0.7999999999999999</v>
      </c>
      <c r="B1031" s="54">
        <f t="shared" si="94"/>
        <v>0.06320000000000003</v>
      </c>
      <c r="C1031" s="85"/>
      <c r="D1031" s="19"/>
      <c r="E1031" s="20"/>
    </row>
    <row r="1032" spans="1:5" ht="12.95" customHeight="1">
      <c r="A1032" s="143">
        <f t="shared" si="95"/>
        <v>0.8999999999999999</v>
      </c>
      <c r="B1032" s="54">
        <f t="shared" si="94"/>
        <v>0.03160000000000002</v>
      </c>
      <c r="C1032" s="85"/>
      <c r="D1032" s="19"/>
      <c r="E1032" s="20"/>
    </row>
    <row r="1033" spans="1:5" ht="12.95" customHeight="1" thickBot="1">
      <c r="A1033" s="149">
        <f t="shared" si="95"/>
        <v>0.9999999999999999</v>
      </c>
      <c r="B1033" s="91">
        <f t="shared" si="94"/>
        <v>0</v>
      </c>
      <c r="C1033" s="92"/>
      <c r="D1033" s="24"/>
      <c r="E1033" s="25"/>
    </row>
    <row r="1034" ht="12.95" customHeight="1" thickTop="1"/>
    <row r="1035" ht="12.95" customHeight="1" thickBot="1"/>
    <row r="1036" spans="1:5" ht="30" customHeight="1" thickTop="1">
      <c r="A1036" s="1" t="s">
        <v>7</v>
      </c>
      <c r="B1036" s="2">
        <v>114</v>
      </c>
      <c r="C1036" s="3" t="s">
        <v>5</v>
      </c>
      <c r="D1036" s="4" t="s">
        <v>222</v>
      </c>
      <c r="E1036" s="5" t="s">
        <v>109</v>
      </c>
    </row>
    <row r="1037" spans="1:5" ht="30" customHeight="1">
      <c r="A1037" s="6" t="s">
        <v>2</v>
      </c>
      <c r="B1037" s="7" t="s">
        <v>220</v>
      </c>
      <c r="C1037" s="8"/>
      <c r="D1037" s="53" t="s">
        <v>223</v>
      </c>
      <c r="E1037" s="9" t="s">
        <v>111</v>
      </c>
    </row>
    <row r="1038" spans="1:5" ht="30" customHeight="1">
      <c r="A1038" s="6" t="s">
        <v>10</v>
      </c>
      <c r="B1038" s="7"/>
      <c r="C1038" s="8"/>
      <c r="D1038" s="55"/>
      <c r="E1038" s="9"/>
    </row>
    <row r="1039" spans="1:5" ht="30" customHeight="1" thickBot="1">
      <c r="A1039" s="6" t="s">
        <v>3</v>
      </c>
      <c r="B1039" s="7" t="s">
        <v>166</v>
      </c>
      <c r="C1039" s="83"/>
      <c r="D1039" s="56"/>
      <c r="E1039" s="57"/>
    </row>
    <row r="1040" spans="1:5" ht="30" customHeight="1">
      <c r="A1040" s="6" t="s">
        <v>4</v>
      </c>
      <c r="B1040" s="7" t="s">
        <v>65</v>
      </c>
      <c r="C1040" s="10" t="s">
        <v>6</v>
      </c>
      <c r="D1040" s="11">
        <v>3.2</v>
      </c>
      <c r="E1040" s="58"/>
    </row>
    <row r="1041" spans="1:5" ht="30" customHeight="1" thickBot="1">
      <c r="A1041" s="12" t="s">
        <v>11</v>
      </c>
      <c r="B1041" s="37" t="s">
        <v>66</v>
      </c>
      <c r="C1041" s="13" t="s">
        <v>0</v>
      </c>
      <c r="D1041" s="14">
        <f>IF(D1040&lt;0,"valor del indicador fuera de rango",IF(D1040&lt;=3,-0.1*D1040+1,IF(D1040&lt;=5,-0.35*D1040+1.75,"valor del indicador fuera rango")))</f>
        <v>0.6300000000000001</v>
      </c>
      <c r="E1041" s="59"/>
    </row>
    <row r="1042" spans="1:5" ht="30" customHeight="1">
      <c r="A1042" s="15" t="s">
        <v>9</v>
      </c>
      <c r="B1042" s="16" t="s">
        <v>0</v>
      </c>
      <c r="C1042" s="192" t="s">
        <v>8</v>
      </c>
      <c r="D1042" s="193"/>
      <c r="E1042" s="194"/>
    </row>
    <row r="1043" spans="1:5" ht="12.95" customHeight="1">
      <c r="A1043" s="142">
        <v>0</v>
      </c>
      <c r="B1043" s="18">
        <f aca="true" t="shared" si="96" ref="B1043:B1055">-0.1*A1043+1</f>
        <v>1</v>
      </c>
      <c r="C1043" s="19"/>
      <c r="D1043" s="19"/>
      <c r="E1043" s="20"/>
    </row>
    <row r="1044" spans="1:5" ht="12.95" customHeight="1">
      <c r="A1044" s="142">
        <f>+A1043+0.25</f>
        <v>0.25</v>
      </c>
      <c r="B1044" s="18">
        <f t="shared" si="96"/>
        <v>0.975</v>
      </c>
      <c r="C1044" s="85"/>
      <c r="D1044" s="19"/>
      <c r="E1044" s="20"/>
    </row>
    <row r="1045" spans="1:5" ht="12.95" customHeight="1">
      <c r="A1045" s="142">
        <f aca="true" t="shared" si="97" ref="A1045:A1063">+A1044+0.25</f>
        <v>0.5</v>
      </c>
      <c r="B1045" s="18">
        <f t="shared" si="96"/>
        <v>0.95</v>
      </c>
      <c r="C1045" s="85"/>
      <c r="D1045" s="19"/>
      <c r="E1045" s="20"/>
    </row>
    <row r="1046" spans="1:5" ht="12.95" customHeight="1">
      <c r="A1046" s="142">
        <f t="shared" si="97"/>
        <v>0.75</v>
      </c>
      <c r="B1046" s="18">
        <f t="shared" si="96"/>
        <v>0.925</v>
      </c>
      <c r="C1046" s="85"/>
      <c r="D1046" s="19"/>
      <c r="E1046" s="20"/>
    </row>
    <row r="1047" spans="1:5" ht="12.95" customHeight="1">
      <c r="A1047" s="142">
        <f t="shared" si="97"/>
        <v>1</v>
      </c>
      <c r="B1047" s="18">
        <f t="shared" si="96"/>
        <v>0.9</v>
      </c>
      <c r="C1047" s="85"/>
      <c r="D1047" s="19"/>
      <c r="E1047" s="20"/>
    </row>
    <row r="1048" spans="1:5" ht="12.95" customHeight="1">
      <c r="A1048" s="142">
        <f t="shared" si="97"/>
        <v>1.25</v>
      </c>
      <c r="B1048" s="18">
        <f t="shared" si="96"/>
        <v>0.875</v>
      </c>
      <c r="C1048" s="85"/>
      <c r="D1048" s="19"/>
      <c r="E1048" s="20"/>
    </row>
    <row r="1049" spans="1:5" ht="12.95" customHeight="1">
      <c r="A1049" s="142">
        <f t="shared" si="97"/>
        <v>1.5</v>
      </c>
      <c r="B1049" s="18">
        <f t="shared" si="96"/>
        <v>0.85</v>
      </c>
      <c r="C1049" s="85"/>
      <c r="D1049" s="19"/>
      <c r="E1049" s="20"/>
    </row>
    <row r="1050" spans="1:5" ht="12.95" customHeight="1">
      <c r="A1050" s="142">
        <f t="shared" si="97"/>
        <v>1.75</v>
      </c>
      <c r="B1050" s="18">
        <f t="shared" si="96"/>
        <v>0.825</v>
      </c>
      <c r="C1050" s="85"/>
      <c r="D1050" s="19"/>
      <c r="E1050" s="20"/>
    </row>
    <row r="1051" spans="1:5" ht="12.95" customHeight="1">
      <c r="A1051" s="142">
        <f t="shared" si="97"/>
        <v>2</v>
      </c>
      <c r="B1051" s="18">
        <f t="shared" si="96"/>
        <v>0.8</v>
      </c>
      <c r="C1051" s="85"/>
      <c r="D1051" s="19"/>
      <c r="E1051" s="20"/>
    </row>
    <row r="1052" spans="1:5" ht="12.95" customHeight="1">
      <c r="A1052" s="142">
        <f t="shared" si="97"/>
        <v>2.25</v>
      </c>
      <c r="B1052" s="18">
        <f t="shared" si="96"/>
        <v>0.775</v>
      </c>
      <c r="C1052" s="85"/>
      <c r="D1052" s="19"/>
      <c r="E1052" s="20"/>
    </row>
    <row r="1053" spans="1:5" ht="12.95" customHeight="1">
      <c r="A1053" s="142">
        <f t="shared" si="97"/>
        <v>2.5</v>
      </c>
      <c r="B1053" s="18">
        <f t="shared" si="96"/>
        <v>0.75</v>
      </c>
      <c r="C1053" s="85"/>
      <c r="D1053" s="19"/>
      <c r="E1053" s="20"/>
    </row>
    <row r="1054" spans="1:5" ht="12.95" customHeight="1">
      <c r="A1054" s="142">
        <f t="shared" si="97"/>
        <v>2.75</v>
      </c>
      <c r="B1054" s="18">
        <f t="shared" si="96"/>
        <v>0.725</v>
      </c>
      <c r="C1054" s="85"/>
      <c r="D1054" s="19"/>
      <c r="E1054" s="20"/>
    </row>
    <row r="1055" spans="1:5" ht="12.95" customHeight="1">
      <c r="A1055" s="142">
        <f t="shared" si="97"/>
        <v>3</v>
      </c>
      <c r="B1055" s="18">
        <f t="shared" si="96"/>
        <v>0.7</v>
      </c>
      <c r="C1055" s="85"/>
      <c r="D1055" s="19"/>
      <c r="E1055" s="20"/>
    </row>
    <row r="1056" spans="1:5" ht="12.95" customHeight="1">
      <c r="A1056" s="143">
        <f t="shared" si="97"/>
        <v>3.25</v>
      </c>
      <c r="B1056" s="54">
        <f aca="true" t="shared" si="98" ref="B1056:B1063">-0.35*A1056+1.75</f>
        <v>0.6125</v>
      </c>
      <c r="C1056" s="85"/>
      <c r="D1056" s="19"/>
      <c r="E1056" s="20"/>
    </row>
    <row r="1057" spans="1:5" ht="12.95" customHeight="1">
      <c r="A1057" s="143">
        <f t="shared" si="97"/>
        <v>3.5</v>
      </c>
      <c r="B1057" s="54">
        <f t="shared" si="98"/>
        <v>0.5250000000000001</v>
      </c>
      <c r="C1057" s="85"/>
      <c r="D1057" s="19"/>
      <c r="E1057" s="20"/>
    </row>
    <row r="1058" spans="1:5" ht="12.95" customHeight="1">
      <c r="A1058" s="143">
        <f t="shared" si="97"/>
        <v>3.75</v>
      </c>
      <c r="B1058" s="54">
        <f t="shared" si="98"/>
        <v>0.4375</v>
      </c>
      <c r="C1058" s="85"/>
      <c r="D1058" s="19"/>
      <c r="E1058" s="20"/>
    </row>
    <row r="1059" spans="1:5" ht="12.95" customHeight="1">
      <c r="A1059" s="143">
        <f t="shared" si="97"/>
        <v>4</v>
      </c>
      <c r="B1059" s="54">
        <f t="shared" si="98"/>
        <v>0.3500000000000001</v>
      </c>
      <c r="C1059" s="85"/>
      <c r="D1059" s="19"/>
      <c r="E1059" s="20"/>
    </row>
    <row r="1060" spans="1:5" ht="12.95" customHeight="1">
      <c r="A1060" s="143">
        <f t="shared" si="97"/>
        <v>4.25</v>
      </c>
      <c r="B1060" s="54">
        <f t="shared" si="98"/>
        <v>0.2625000000000002</v>
      </c>
      <c r="C1060" s="85"/>
      <c r="D1060" s="19"/>
      <c r="E1060" s="20"/>
    </row>
    <row r="1061" spans="1:5" ht="12.95" customHeight="1">
      <c r="A1061" s="143">
        <f t="shared" si="97"/>
        <v>4.5</v>
      </c>
      <c r="B1061" s="54">
        <f t="shared" si="98"/>
        <v>0.17500000000000004</v>
      </c>
      <c r="C1061" s="85"/>
      <c r="D1061" s="19"/>
      <c r="E1061" s="20"/>
    </row>
    <row r="1062" spans="1:5" ht="12.95" customHeight="1">
      <c r="A1062" s="143">
        <f t="shared" si="97"/>
        <v>4.75</v>
      </c>
      <c r="B1062" s="54">
        <f t="shared" si="98"/>
        <v>0.08750000000000013</v>
      </c>
      <c r="C1062" s="85"/>
      <c r="D1062" s="19"/>
      <c r="E1062" s="20"/>
    </row>
    <row r="1063" spans="1:5" ht="12.95" customHeight="1" thickBot="1">
      <c r="A1063" s="149">
        <f t="shared" si="97"/>
        <v>5</v>
      </c>
      <c r="B1063" s="91">
        <f t="shared" si="98"/>
        <v>0</v>
      </c>
      <c r="C1063" s="92"/>
      <c r="D1063" s="24"/>
      <c r="E1063" s="25"/>
    </row>
    <row r="1064" ht="12.95" customHeight="1" thickTop="1"/>
    <row r="1065" ht="12.95" customHeight="1" thickBot="1"/>
    <row r="1066" spans="1:5" ht="30" customHeight="1" thickTop="1">
      <c r="A1066" s="1" t="s">
        <v>7</v>
      </c>
      <c r="B1066" s="2">
        <v>115</v>
      </c>
      <c r="C1066" s="3" t="s">
        <v>5</v>
      </c>
      <c r="D1066" s="4" t="s">
        <v>206</v>
      </c>
      <c r="E1066" s="5" t="s">
        <v>74</v>
      </c>
    </row>
    <row r="1067" spans="1:5" ht="30" customHeight="1">
      <c r="A1067" s="6" t="s">
        <v>2</v>
      </c>
      <c r="B1067" s="7" t="s">
        <v>224</v>
      </c>
      <c r="C1067" s="8"/>
      <c r="D1067" s="53"/>
      <c r="E1067" s="9"/>
    </row>
    <row r="1068" spans="1:5" ht="30" customHeight="1">
      <c r="A1068" s="6" t="s">
        <v>10</v>
      </c>
      <c r="B1068" s="7"/>
      <c r="C1068" s="8"/>
      <c r="D1068" s="55"/>
      <c r="E1068" s="9"/>
    </row>
    <row r="1069" spans="1:5" ht="30" customHeight="1" thickBot="1">
      <c r="A1069" s="6" t="s">
        <v>3</v>
      </c>
      <c r="B1069" s="7" t="s">
        <v>166</v>
      </c>
      <c r="C1069" s="83"/>
      <c r="D1069" s="56"/>
      <c r="E1069" s="57"/>
    </row>
    <row r="1070" spans="1:5" ht="30" customHeight="1">
      <c r="A1070" s="6" t="s">
        <v>4</v>
      </c>
      <c r="B1070" s="7" t="s">
        <v>143</v>
      </c>
      <c r="C1070" s="10" t="s">
        <v>6</v>
      </c>
      <c r="D1070" s="11">
        <v>0.4</v>
      </c>
      <c r="E1070" s="58"/>
    </row>
    <row r="1071" spans="1:5" ht="30" customHeight="1" thickBot="1">
      <c r="A1071" s="12" t="s">
        <v>11</v>
      </c>
      <c r="B1071" s="37" t="s">
        <v>66</v>
      </c>
      <c r="C1071" s="13" t="s">
        <v>0</v>
      </c>
      <c r="D1071" s="14">
        <f>IF(D1070&lt;0,"valor del indicador fuera de rango",IF(D1070&lt;=1,-D1070+1,"valor del indicador fuera rango"))</f>
        <v>0.6</v>
      </c>
      <c r="E1071" s="59"/>
    </row>
    <row r="1072" spans="1:5" ht="30" customHeight="1">
      <c r="A1072" s="15" t="s">
        <v>9</v>
      </c>
      <c r="B1072" s="16" t="s">
        <v>0</v>
      </c>
      <c r="C1072" s="192" t="s">
        <v>8</v>
      </c>
      <c r="D1072" s="193"/>
      <c r="E1072" s="194"/>
    </row>
    <row r="1073" spans="1:5" ht="12.95" customHeight="1">
      <c r="A1073" s="142">
        <v>0</v>
      </c>
      <c r="B1073" s="18">
        <f aca="true" t="shared" si="99" ref="B1073:B1093">-A1073+1</f>
        <v>1</v>
      </c>
      <c r="C1073" s="19"/>
      <c r="D1073" s="19"/>
      <c r="E1073" s="20"/>
    </row>
    <row r="1074" spans="1:5" ht="12.95" customHeight="1">
      <c r="A1074" s="142">
        <f>+A1073+0.05</f>
        <v>0.05</v>
      </c>
      <c r="B1074" s="18">
        <f t="shared" si="99"/>
        <v>0.95</v>
      </c>
      <c r="C1074" s="85"/>
      <c r="D1074" s="19"/>
      <c r="E1074" s="20"/>
    </row>
    <row r="1075" spans="1:5" ht="12.95" customHeight="1">
      <c r="A1075" s="142">
        <f aca="true" t="shared" si="100" ref="A1075:A1093">+A1074+0.05</f>
        <v>0.1</v>
      </c>
      <c r="B1075" s="18">
        <f t="shared" si="99"/>
        <v>0.9</v>
      </c>
      <c r="C1075" s="85"/>
      <c r="D1075" s="19"/>
      <c r="E1075" s="20"/>
    </row>
    <row r="1076" spans="1:5" ht="12.95" customHeight="1">
      <c r="A1076" s="142">
        <f t="shared" si="100"/>
        <v>0.15000000000000002</v>
      </c>
      <c r="B1076" s="18">
        <f t="shared" si="99"/>
        <v>0.85</v>
      </c>
      <c r="C1076" s="85"/>
      <c r="D1076" s="19"/>
      <c r="E1076" s="20"/>
    </row>
    <row r="1077" spans="1:5" ht="12.95" customHeight="1">
      <c r="A1077" s="142">
        <f t="shared" si="100"/>
        <v>0.2</v>
      </c>
      <c r="B1077" s="18">
        <f t="shared" si="99"/>
        <v>0.8</v>
      </c>
      <c r="C1077" s="85"/>
      <c r="D1077" s="19"/>
      <c r="E1077" s="20"/>
    </row>
    <row r="1078" spans="1:5" ht="12.95" customHeight="1">
      <c r="A1078" s="142">
        <f t="shared" si="100"/>
        <v>0.25</v>
      </c>
      <c r="B1078" s="18">
        <f t="shared" si="99"/>
        <v>0.75</v>
      </c>
      <c r="C1078" s="85"/>
      <c r="D1078" s="19"/>
      <c r="E1078" s="20"/>
    </row>
    <row r="1079" spans="1:5" ht="12.95" customHeight="1">
      <c r="A1079" s="142">
        <f t="shared" si="100"/>
        <v>0.3</v>
      </c>
      <c r="B1079" s="18">
        <f t="shared" si="99"/>
        <v>0.7</v>
      </c>
      <c r="C1079" s="85"/>
      <c r="D1079" s="19"/>
      <c r="E1079" s="20"/>
    </row>
    <row r="1080" spans="1:5" ht="12.95" customHeight="1">
      <c r="A1080" s="142">
        <f t="shared" si="100"/>
        <v>0.35</v>
      </c>
      <c r="B1080" s="18">
        <f t="shared" si="99"/>
        <v>0.65</v>
      </c>
      <c r="C1080" s="85"/>
      <c r="D1080" s="19"/>
      <c r="E1080" s="20"/>
    </row>
    <row r="1081" spans="1:5" ht="12.95" customHeight="1">
      <c r="A1081" s="142">
        <f t="shared" si="100"/>
        <v>0.39999999999999997</v>
      </c>
      <c r="B1081" s="18">
        <f t="shared" si="99"/>
        <v>0.6000000000000001</v>
      </c>
      <c r="C1081" s="85"/>
      <c r="D1081" s="19"/>
      <c r="E1081" s="20"/>
    </row>
    <row r="1082" spans="1:5" ht="12.95" customHeight="1">
      <c r="A1082" s="142">
        <f t="shared" si="100"/>
        <v>0.44999999999999996</v>
      </c>
      <c r="B1082" s="18">
        <f t="shared" si="99"/>
        <v>0.55</v>
      </c>
      <c r="C1082" s="85"/>
      <c r="D1082" s="19"/>
      <c r="E1082" s="20"/>
    </row>
    <row r="1083" spans="1:5" ht="12.95" customHeight="1">
      <c r="A1083" s="142">
        <f t="shared" si="100"/>
        <v>0.49999999999999994</v>
      </c>
      <c r="B1083" s="18">
        <f t="shared" si="99"/>
        <v>0.5</v>
      </c>
      <c r="C1083" s="85"/>
      <c r="D1083" s="19"/>
      <c r="E1083" s="20"/>
    </row>
    <row r="1084" spans="1:5" ht="12.95" customHeight="1">
      <c r="A1084" s="142">
        <f t="shared" si="100"/>
        <v>0.5499999999999999</v>
      </c>
      <c r="B1084" s="18">
        <f t="shared" si="99"/>
        <v>0.45000000000000007</v>
      </c>
      <c r="C1084" s="85"/>
      <c r="D1084" s="19"/>
      <c r="E1084" s="20"/>
    </row>
    <row r="1085" spans="1:5" ht="12.95" customHeight="1">
      <c r="A1085" s="142">
        <f t="shared" si="100"/>
        <v>0.6</v>
      </c>
      <c r="B1085" s="18">
        <f t="shared" si="99"/>
        <v>0.4</v>
      </c>
      <c r="C1085" s="85"/>
      <c r="D1085" s="19"/>
      <c r="E1085" s="20"/>
    </row>
    <row r="1086" spans="1:5" ht="12.95" customHeight="1">
      <c r="A1086" s="142">
        <f t="shared" si="100"/>
        <v>0.65</v>
      </c>
      <c r="B1086" s="18">
        <f t="shared" si="99"/>
        <v>0.35</v>
      </c>
      <c r="C1086" s="85"/>
      <c r="D1086" s="19"/>
      <c r="E1086" s="20"/>
    </row>
    <row r="1087" spans="1:5" ht="12.95" customHeight="1">
      <c r="A1087" s="142">
        <f t="shared" si="100"/>
        <v>0.7000000000000001</v>
      </c>
      <c r="B1087" s="18">
        <f t="shared" si="99"/>
        <v>0.29999999999999993</v>
      </c>
      <c r="C1087" s="85"/>
      <c r="D1087" s="19"/>
      <c r="E1087" s="20"/>
    </row>
    <row r="1088" spans="1:5" ht="12.95" customHeight="1">
      <c r="A1088" s="142">
        <f t="shared" si="100"/>
        <v>0.7500000000000001</v>
      </c>
      <c r="B1088" s="18">
        <f t="shared" si="99"/>
        <v>0.2499999999999999</v>
      </c>
      <c r="C1088" s="85"/>
      <c r="D1088" s="19"/>
      <c r="E1088" s="20"/>
    </row>
    <row r="1089" spans="1:5" ht="12.95" customHeight="1">
      <c r="A1089" s="142">
        <f t="shared" si="100"/>
        <v>0.8000000000000002</v>
      </c>
      <c r="B1089" s="18">
        <f t="shared" si="99"/>
        <v>0.19999999999999984</v>
      </c>
      <c r="C1089" s="85"/>
      <c r="D1089" s="19"/>
      <c r="E1089" s="20"/>
    </row>
    <row r="1090" spans="1:5" ht="12.95" customHeight="1">
      <c r="A1090" s="142">
        <f t="shared" si="100"/>
        <v>0.8500000000000002</v>
      </c>
      <c r="B1090" s="18">
        <f t="shared" si="99"/>
        <v>0.1499999999999998</v>
      </c>
      <c r="C1090" s="85"/>
      <c r="D1090" s="19"/>
      <c r="E1090" s="20"/>
    </row>
    <row r="1091" spans="1:5" ht="12.95" customHeight="1">
      <c r="A1091" s="142">
        <f t="shared" si="100"/>
        <v>0.9000000000000002</v>
      </c>
      <c r="B1091" s="18">
        <f t="shared" si="99"/>
        <v>0.09999999999999976</v>
      </c>
      <c r="C1091" s="85"/>
      <c r="D1091" s="19"/>
      <c r="E1091" s="20"/>
    </row>
    <row r="1092" spans="1:5" ht="12.95" customHeight="1">
      <c r="A1092" s="142">
        <f t="shared" si="100"/>
        <v>0.9500000000000003</v>
      </c>
      <c r="B1092" s="18">
        <f t="shared" si="99"/>
        <v>0.04999999999999971</v>
      </c>
      <c r="C1092" s="85"/>
      <c r="D1092" s="19"/>
      <c r="E1092" s="20"/>
    </row>
    <row r="1093" spans="1:5" ht="12.95" customHeight="1" thickBot="1">
      <c r="A1093" s="172">
        <f t="shared" si="100"/>
        <v>1.0000000000000002</v>
      </c>
      <c r="B1093" s="46">
        <f t="shared" si="99"/>
        <v>0</v>
      </c>
      <c r="C1093" s="92"/>
      <c r="D1093" s="24"/>
      <c r="E1093" s="25"/>
    </row>
    <row r="1094" ht="12.95" customHeight="1" thickTop="1"/>
    <row r="1095" ht="12.95" customHeight="1" thickBot="1"/>
    <row r="1096" spans="1:5" ht="30" customHeight="1" thickTop="1">
      <c r="A1096" s="1" t="s">
        <v>7</v>
      </c>
      <c r="B1096" s="2">
        <v>116</v>
      </c>
      <c r="C1096" s="3" t="s">
        <v>5</v>
      </c>
      <c r="D1096" s="4" t="s">
        <v>217</v>
      </c>
      <c r="E1096" s="5" t="s">
        <v>159</v>
      </c>
    </row>
    <row r="1097" spans="1:5" ht="30" customHeight="1">
      <c r="A1097" s="6" t="s">
        <v>2</v>
      </c>
      <c r="B1097" s="7" t="s">
        <v>225</v>
      </c>
      <c r="C1097" s="8"/>
      <c r="D1097" s="53" t="s">
        <v>226</v>
      </c>
      <c r="E1097" s="9" t="s">
        <v>214</v>
      </c>
    </row>
    <row r="1098" spans="1:5" ht="30" customHeight="1">
      <c r="A1098" s="6" t="s">
        <v>10</v>
      </c>
      <c r="B1098" s="7"/>
      <c r="C1098" s="8"/>
      <c r="D1098" s="55"/>
      <c r="E1098" s="9"/>
    </row>
    <row r="1099" spans="1:5" ht="30" customHeight="1" thickBot="1">
      <c r="A1099" s="6" t="s">
        <v>3</v>
      </c>
      <c r="B1099" s="7" t="s">
        <v>166</v>
      </c>
      <c r="C1099" s="83"/>
      <c r="D1099" s="56"/>
      <c r="E1099" s="57"/>
    </row>
    <row r="1100" spans="1:5" ht="30" customHeight="1">
      <c r="A1100" s="6" t="s">
        <v>4</v>
      </c>
      <c r="B1100" s="7" t="s">
        <v>186</v>
      </c>
      <c r="C1100" s="10" t="s">
        <v>6</v>
      </c>
      <c r="D1100" s="11">
        <v>0.07</v>
      </c>
      <c r="E1100" s="58"/>
    </row>
    <row r="1101" spans="1:5" ht="30" customHeight="1" thickBot="1">
      <c r="A1101" s="12" t="s">
        <v>11</v>
      </c>
      <c r="B1101" s="37" t="s">
        <v>66</v>
      </c>
      <c r="C1101" s="13" t="s">
        <v>0</v>
      </c>
      <c r="D1101" s="14">
        <f>IF(D1100&lt;0,"valor del indicador fuera de rango",IF(D1100&lt;=0.05,-14*D1100+1,IF(D1100&lt;=0.1,-6*D1100+0.6,"valor del indicador fuera rango")))</f>
        <v>0.17999999999999994</v>
      </c>
      <c r="E1101" s="59"/>
    </row>
    <row r="1102" spans="1:5" ht="30" customHeight="1">
      <c r="A1102" s="15" t="s">
        <v>9</v>
      </c>
      <c r="B1102" s="16" t="s">
        <v>0</v>
      </c>
      <c r="C1102" s="192" t="s">
        <v>8</v>
      </c>
      <c r="D1102" s="193"/>
      <c r="E1102" s="194"/>
    </row>
    <row r="1103" spans="1:5" ht="12.95" customHeight="1">
      <c r="A1103" s="153">
        <v>0</v>
      </c>
      <c r="B1103" s="18">
        <f aca="true" t="shared" si="101" ref="B1103:B1113">-14*A1103+1</f>
        <v>1</v>
      </c>
      <c r="C1103" s="19"/>
      <c r="D1103" s="19"/>
      <c r="E1103" s="20"/>
    </row>
    <row r="1104" spans="1:5" ht="12.95" customHeight="1">
      <c r="A1104" s="153">
        <f>+A1103+0.005</f>
        <v>0.005</v>
      </c>
      <c r="B1104" s="18">
        <f t="shared" si="101"/>
        <v>0.9299999999999999</v>
      </c>
      <c r="C1104" s="85"/>
      <c r="D1104" s="19"/>
      <c r="E1104" s="20"/>
    </row>
    <row r="1105" spans="1:5" ht="12.95" customHeight="1">
      <c r="A1105" s="153">
        <f aca="true" t="shared" si="102" ref="A1105:A1123">+A1104+0.005</f>
        <v>0.01</v>
      </c>
      <c r="B1105" s="18">
        <f t="shared" si="101"/>
        <v>0.86</v>
      </c>
      <c r="C1105" s="85"/>
      <c r="D1105" s="19"/>
      <c r="E1105" s="20"/>
    </row>
    <row r="1106" spans="1:5" ht="12.95" customHeight="1">
      <c r="A1106" s="153">
        <f t="shared" si="102"/>
        <v>0.015</v>
      </c>
      <c r="B1106" s="18">
        <f t="shared" si="101"/>
        <v>0.79</v>
      </c>
      <c r="C1106" s="85"/>
      <c r="D1106" s="19"/>
      <c r="E1106" s="20"/>
    </row>
    <row r="1107" spans="1:5" ht="12.95" customHeight="1">
      <c r="A1107" s="153">
        <f t="shared" si="102"/>
        <v>0.02</v>
      </c>
      <c r="B1107" s="18">
        <f t="shared" si="101"/>
        <v>0.72</v>
      </c>
      <c r="C1107" s="85"/>
      <c r="D1107" s="19"/>
      <c r="E1107" s="20"/>
    </row>
    <row r="1108" spans="1:5" ht="12.95" customHeight="1">
      <c r="A1108" s="153">
        <f t="shared" si="102"/>
        <v>0.025</v>
      </c>
      <c r="B1108" s="18">
        <f t="shared" si="101"/>
        <v>0.6499999999999999</v>
      </c>
      <c r="C1108" s="85"/>
      <c r="D1108" s="19"/>
      <c r="E1108" s="20"/>
    </row>
    <row r="1109" spans="1:5" ht="12.95" customHeight="1">
      <c r="A1109" s="153">
        <f t="shared" si="102"/>
        <v>0.030000000000000002</v>
      </c>
      <c r="B1109" s="18">
        <f t="shared" si="101"/>
        <v>0.58</v>
      </c>
      <c r="C1109" s="85"/>
      <c r="D1109" s="19"/>
      <c r="E1109" s="20"/>
    </row>
    <row r="1110" spans="1:5" ht="12.95" customHeight="1">
      <c r="A1110" s="153">
        <f t="shared" si="102"/>
        <v>0.035</v>
      </c>
      <c r="B1110" s="18">
        <f t="shared" si="101"/>
        <v>0.51</v>
      </c>
      <c r="C1110" s="85"/>
      <c r="D1110" s="19"/>
      <c r="E1110" s="20"/>
    </row>
    <row r="1111" spans="1:5" ht="12.95" customHeight="1">
      <c r="A1111" s="153">
        <f t="shared" si="102"/>
        <v>0.04</v>
      </c>
      <c r="B1111" s="18">
        <f t="shared" si="101"/>
        <v>0.43999999999999995</v>
      </c>
      <c r="C1111" s="85"/>
      <c r="D1111" s="19"/>
      <c r="E1111" s="20"/>
    </row>
    <row r="1112" spans="1:5" ht="12.95" customHeight="1">
      <c r="A1112" s="153">
        <f t="shared" si="102"/>
        <v>0.045</v>
      </c>
      <c r="B1112" s="18">
        <f t="shared" si="101"/>
        <v>0.37</v>
      </c>
      <c r="C1112" s="85"/>
      <c r="D1112" s="19"/>
      <c r="E1112" s="20"/>
    </row>
    <row r="1113" spans="1:5" ht="12.95" customHeight="1">
      <c r="A1113" s="153">
        <f t="shared" si="102"/>
        <v>0.049999999999999996</v>
      </c>
      <c r="B1113" s="18">
        <f t="shared" si="101"/>
        <v>0.30000000000000004</v>
      </c>
      <c r="C1113" s="85"/>
      <c r="D1113" s="19"/>
      <c r="E1113" s="20"/>
    </row>
    <row r="1114" spans="1:5" ht="12.95" customHeight="1">
      <c r="A1114" s="154">
        <f t="shared" si="102"/>
        <v>0.05499999999999999</v>
      </c>
      <c r="B1114" s="54">
        <f aca="true" t="shared" si="103" ref="B1114:B1123">-6*A1114+0.6</f>
        <v>0.27</v>
      </c>
      <c r="C1114" s="85"/>
      <c r="D1114" s="19"/>
      <c r="E1114" s="20"/>
    </row>
    <row r="1115" spans="1:5" ht="12.95" customHeight="1">
      <c r="A1115" s="154">
        <f t="shared" si="102"/>
        <v>0.05999999999999999</v>
      </c>
      <c r="B1115" s="54">
        <f t="shared" si="103"/>
        <v>0.24000000000000005</v>
      </c>
      <c r="C1115" s="85"/>
      <c r="D1115" s="19"/>
      <c r="E1115" s="20"/>
    </row>
    <row r="1116" spans="1:5" ht="12.95" customHeight="1">
      <c r="A1116" s="154">
        <f t="shared" si="102"/>
        <v>0.06499999999999999</v>
      </c>
      <c r="B1116" s="54">
        <f t="shared" si="103"/>
        <v>0.21000000000000008</v>
      </c>
      <c r="C1116" s="85"/>
      <c r="D1116" s="19"/>
      <c r="E1116" s="20"/>
    </row>
    <row r="1117" spans="1:5" ht="12.95" customHeight="1">
      <c r="A1117" s="154">
        <f t="shared" si="102"/>
        <v>0.06999999999999999</v>
      </c>
      <c r="B1117" s="54">
        <f t="shared" si="103"/>
        <v>0.18000000000000005</v>
      </c>
      <c r="C1117" s="85"/>
      <c r="D1117" s="19"/>
      <c r="E1117" s="20"/>
    </row>
    <row r="1118" spans="1:5" ht="12.95" customHeight="1">
      <c r="A1118" s="154">
        <f t="shared" si="102"/>
        <v>0.075</v>
      </c>
      <c r="B1118" s="54">
        <f t="shared" si="103"/>
        <v>0.15000000000000002</v>
      </c>
      <c r="C1118" s="85"/>
      <c r="D1118" s="19"/>
      <c r="E1118" s="20"/>
    </row>
    <row r="1119" spans="1:5" ht="12.95" customHeight="1">
      <c r="A1119" s="154">
        <f t="shared" si="102"/>
        <v>0.08</v>
      </c>
      <c r="B1119" s="54">
        <f t="shared" si="103"/>
        <v>0.12</v>
      </c>
      <c r="C1119" s="85"/>
      <c r="D1119" s="19"/>
      <c r="E1119" s="20"/>
    </row>
    <row r="1120" spans="1:5" ht="12.95" customHeight="1">
      <c r="A1120" s="154">
        <f t="shared" si="102"/>
        <v>0.085</v>
      </c>
      <c r="B1120" s="54">
        <f t="shared" si="103"/>
        <v>0.08999999999999997</v>
      </c>
      <c r="C1120" s="85"/>
      <c r="D1120" s="19"/>
      <c r="E1120" s="20"/>
    </row>
    <row r="1121" spans="1:5" ht="12.95" customHeight="1">
      <c r="A1121" s="154">
        <f t="shared" si="102"/>
        <v>0.09000000000000001</v>
      </c>
      <c r="B1121" s="54">
        <f t="shared" si="103"/>
        <v>0.05999999999999994</v>
      </c>
      <c r="C1121" s="85"/>
      <c r="D1121" s="19"/>
      <c r="E1121" s="20"/>
    </row>
    <row r="1122" spans="1:5" ht="12.95" customHeight="1">
      <c r="A1122" s="154">
        <f t="shared" si="102"/>
        <v>0.09500000000000001</v>
      </c>
      <c r="B1122" s="54">
        <f t="shared" si="103"/>
        <v>0.029999999999999916</v>
      </c>
      <c r="C1122" s="85"/>
      <c r="D1122" s="19"/>
      <c r="E1122" s="20"/>
    </row>
    <row r="1123" spans="1:5" ht="12.95" customHeight="1" thickBot="1">
      <c r="A1123" s="171">
        <f t="shared" si="102"/>
        <v>0.10000000000000002</v>
      </c>
      <c r="B1123" s="91">
        <f t="shared" si="103"/>
        <v>0</v>
      </c>
      <c r="C1123" s="92"/>
      <c r="D1123" s="24"/>
      <c r="E1123" s="25"/>
    </row>
    <row r="1124" ht="12.95" customHeight="1" thickTop="1"/>
    <row r="1125" ht="12.95" customHeight="1" thickBot="1"/>
    <row r="1126" spans="1:5" ht="30" customHeight="1" thickTop="1">
      <c r="A1126" s="1" t="s">
        <v>7</v>
      </c>
      <c r="B1126" s="2">
        <v>117</v>
      </c>
      <c r="C1126" s="3" t="s">
        <v>5</v>
      </c>
      <c r="D1126" s="4" t="s">
        <v>228</v>
      </c>
      <c r="E1126" s="5" t="s">
        <v>26</v>
      </c>
    </row>
    <row r="1127" spans="1:5" ht="30" customHeight="1">
      <c r="A1127" s="6" t="s">
        <v>2</v>
      </c>
      <c r="B1127" s="7" t="s">
        <v>227</v>
      </c>
      <c r="C1127" s="8"/>
      <c r="D1127" s="53"/>
      <c r="E1127" s="9"/>
    </row>
    <row r="1128" spans="1:5" ht="30" customHeight="1">
      <c r="A1128" s="6" t="s">
        <v>10</v>
      </c>
      <c r="B1128" s="7"/>
      <c r="C1128" s="8"/>
      <c r="D1128" s="55"/>
      <c r="E1128" s="9"/>
    </row>
    <row r="1129" spans="1:5" ht="30" customHeight="1" thickBot="1">
      <c r="A1129" s="6" t="s">
        <v>3</v>
      </c>
      <c r="B1129" s="7" t="s">
        <v>229</v>
      </c>
      <c r="C1129" s="83"/>
      <c r="D1129" s="56"/>
      <c r="E1129" s="57"/>
    </row>
    <row r="1130" spans="1:5" ht="30" customHeight="1">
      <c r="A1130" s="6" t="s">
        <v>4</v>
      </c>
      <c r="B1130" s="7" t="s">
        <v>65</v>
      </c>
      <c r="C1130" s="10" t="s">
        <v>6</v>
      </c>
      <c r="D1130" s="11">
        <v>1</v>
      </c>
      <c r="E1130" s="58"/>
    </row>
    <row r="1131" spans="1:5" ht="30" customHeight="1" thickBot="1">
      <c r="A1131" s="12" t="s">
        <v>11</v>
      </c>
      <c r="B1131" s="37" t="s">
        <v>66</v>
      </c>
      <c r="C1131" s="13" t="s">
        <v>0</v>
      </c>
      <c r="D1131" s="14">
        <f>IF(D1130&lt;0,"valor del indicador fuera de rango",IF(D1130&lt;=5,-0.2*D1130+1,"valor del indicador fuera rango"))</f>
        <v>0.8</v>
      </c>
      <c r="E1131" s="59"/>
    </row>
    <row r="1132" spans="1:5" ht="30" customHeight="1">
      <c r="A1132" s="15" t="s">
        <v>9</v>
      </c>
      <c r="B1132" s="16" t="s">
        <v>0</v>
      </c>
      <c r="C1132" s="192" t="s">
        <v>8</v>
      </c>
      <c r="D1132" s="193"/>
      <c r="E1132" s="194"/>
    </row>
    <row r="1133" spans="1:5" ht="12.95" customHeight="1">
      <c r="A1133" s="142">
        <v>0</v>
      </c>
      <c r="B1133" s="18">
        <f aca="true" t="shared" si="104" ref="B1133:B1153">-0.2*A1133+1</f>
        <v>1</v>
      </c>
      <c r="C1133" s="19"/>
      <c r="D1133" s="19"/>
      <c r="E1133" s="20"/>
    </row>
    <row r="1134" spans="1:5" ht="12.95" customHeight="1">
      <c r="A1134" s="142">
        <f>+A1133+0.25</f>
        <v>0.25</v>
      </c>
      <c r="B1134" s="18">
        <f t="shared" si="104"/>
        <v>0.95</v>
      </c>
      <c r="C1134" s="85"/>
      <c r="D1134" s="19"/>
      <c r="E1134" s="20"/>
    </row>
    <row r="1135" spans="1:5" ht="12.95" customHeight="1">
      <c r="A1135" s="142">
        <f aca="true" t="shared" si="105" ref="A1135:A1153">+A1134+0.25</f>
        <v>0.5</v>
      </c>
      <c r="B1135" s="18">
        <f t="shared" si="104"/>
        <v>0.9</v>
      </c>
      <c r="C1135" s="85"/>
      <c r="D1135" s="19"/>
      <c r="E1135" s="20"/>
    </row>
    <row r="1136" spans="1:5" ht="12.95" customHeight="1">
      <c r="A1136" s="142">
        <f t="shared" si="105"/>
        <v>0.75</v>
      </c>
      <c r="B1136" s="18">
        <f t="shared" si="104"/>
        <v>0.85</v>
      </c>
      <c r="C1136" s="85"/>
      <c r="D1136" s="19"/>
      <c r="E1136" s="20"/>
    </row>
    <row r="1137" spans="1:5" ht="12.95" customHeight="1">
      <c r="A1137" s="142">
        <f t="shared" si="105"/>
        <v>1</v>
      </c>
      <c r="B1137" s="18">
        <f t="shared" si="104"/>
        <v>0.8</v>
      </c>
      <c r="C1137" s="85"/>
      <c r="D1137" s="19"/>
      <c r="E1137" s="20"/>
    </row>
    <row r="1138" spans="1:5" ht="12.95" customHeight="1">
      <c r="A1138" s="142">
        <f t="shared" si="105"/>
        <v>1.25</v>
      </c>
      <c r="B1138" s="18">
        <f t="shared" si="104"/>
        <v>0.75</v>
      </c>
      <c r="C1138" s="85"/>
      <c r="D1138" s="19"/>
      <c r="E1138" s="20"/>
    </row>
    <row r="1139" spans="1:5" ht="12.95" customHeight="1">
      <c r="A1139" s="142">
        <f t="shared" si="105"/>
        <v>1.5</v>
      </c>
      <c r="B1139" s="18">
        <f t="shared" si="104"/>
        <v>0.7</v>
      </c>
      <c r="C1139" s="85"/>
      <c r="D1139" s="19"/>
      <c r="E1139" s="20"/>
    </row>
    <row r="1140" spans="1:5" ht="12.95" customHeight="1">
      <c r="A1140" s="142">
        <f t="shared" si="105"/>
        <v>1.75</v>
      </c>
      <c r="B1140" s="18">
        <f t="shared" si="104"/>
        <v>0.6499999999999999</v>
      </c>
      <c r="C1140" s="85"/>
      <c r="D1140" s="19"/>
      <c r="E1140" s="20"/>
    </row>
    <row r="1141" spans="1:5" ht="12.95" customHeight="1">
      <c r="A1141" s="142">
        <f t="shared" si="105"/>
        <v>2</v>
      </c>
      <c r="B1141" s="18">
        <f t="shared" si="104"/>
        <v>0.6</v>
      </c>
      <c r="C1141" s="85"/>
      <c r="D1141" s="19"/>
      <c r="E1141" s="20"/>
    </row>
    <row r="1142" spans="1:5" ht="12.95" customHeight="1">
      <c r="A1142" s="142">
        <f t="shared" si="105"/>
        <v>2.25</v>
      </c>
      <c r="B1142" s="18">
        <f t="shared" si="104"/>
        <v>0.55</v>
      </c>
      <c r="C1142" s="85"/>
      <c r="D1142" s="19"/>
      <c r="E1142" s="20"/>
    </row>
    <row r="1143" spans="1:5" ht="12.95" customHeight="1">
      <c r="A1143" s="142">
        <f t="shared" si="105"/>
        <v>2.5</v>
      </c>
      <c r="B1143" s="18">
        <f t="shared" si="104"/>
        <v>0.5</v>
      </c>
      <c r="C1143" s="85"/>
      <c r="D1143" s="19"/>
      <c r="E1143" s="20"/>
    </row>
    <row r="1144" spans="1:5" ht="12.95" customHeight="1">
      <c r="A1144" s="142">
        <f t="shared" si="105"/>
        <v>2.75</v>
      </c>
      <c r="B1144" s="18">
        <f t="shared" si="104"/>
        <v>0.44999999999999996</v>
      </c>
      <c r="C1144" s="85"/>
      <c r="D1144" s="19"/>
      <c r="E1144" s="20"/>
    </row>
    <row r="1145" spans="1:5" ht="12.95" customHeight="1">
      <c r="A1145" s="142">
        <f t="shared" si="105"/>
        <v>3</v>
      </c>
      <c r="B1145" s="18">
        <f t="shared" si="104"/>
        <v>0.3999999999999999</v>
      </c>
      <c r="C1145" s="85"/>
      <c r="D1145" s="19"/>
      <c r="E1145" s="20"/>
    </row>
    <row r="1146" spans="1:5" ht="12.95" customHeight="1">
      <c r="A1146" s="142">
        <f t="shared" si="105"/>
        <v>3.25</v>
      </c>
      <c r="B1146" s="18">
        <f t="shared" si="104"/>
        <v>0.35</v>
      </c>
      <c r="C1146" s="85"/>
      <c r="D1146" s="19"/>
      <c r="E1146" s="20"/>
    </row>
    <row r="1147" spans="1:5" ht="12.95" customHeight="1">
      <c r="A1147" s="142">
        <f t="shared" si="105"/>
        <v>3.5</v>
      </c>
      <c r="B1147" s="18">
        <f t="shared" si="104"/>
        <v>0.29999999999999993</v>
      </c>
      <c r="C1147" s="85"/>
      <c r="D1147" s="19"/>
      <c r="E1147" s="20"/>
    </row>
    <row r="1148" spans="1:5" ht="12.95" customHeight="1">
      <c r="A1148" s="142">
        <f t="shared" si="105"/>
        <v>3.75</v>
      </c>
      <c r="B1148" s="18">
        <f t="shared" si="104"/>
        <v>0.25</v>
      </c>
      <c r="C1148" s="85"/>
      <c r="D1148" s="19"/>
      <c r="E1148" s="20"/>
    </row>
    <row r="1149" spans="1:5" ht="12.95" customHeight="1">
      <c r="A1149" s="142">
        <f t="shared" si="105"/>
        <v>4</v>
      </c>
      <c r="B1149" s="18">
        <f t="shared" si="104"/>
        <v>0.19999999999999996</v>
      </c>
      <c r="C1149" s="85"/>
      <c r="D1149" s="19"/>
      <c r="E1149" s="20"/>
    </row>
    <row r="1150" spans="1:5" ht="12.95" customHeight="1">
      <c r="A1150" s="142">
        <f t="shared" si="105"/>
        <v>4.25</v>
      </c>
      <c r="B1150" s="18">
        <f t="shared" si="104"/>
        <v>0.1499999999999999</v>
      </c>
      <c r="C1150" s="85"/>
      <c r="D1150" s="19"/>
      <c r="E1150" s="20"/>
    </row>
    <row r="1151" spans="1:5" ht="12.95" customHeight="1">
      <c r="A1151" s="142">
        <f t="shared" si="105"/>
        <v>4.5</v>
      </c>
      <c r="B1151" s="18">
        <f t="shared" si="104"/>
        <v>0.09999999999999998</v>
      </c>
      <c r="C1151" s="85"/>
      <c r="D1151" s="19"/>
      <c r="E1151" s="20"/>
    </row>
    <row r="1152" spans="1:5" ht="12.95" customHeight="1">
      <c r="A1152" s="142">
        <f t="shared" si="105"/>
        <v>4.75</v>
      </c>
      <c r="B1152" s="18">
        <f t="shared" si="104"/>
        <v>0.04999999999999993</v>
      </c>
      <c r="C1152" s="85"/>
      <c r="D1152" s="19"/>
      <c r="E1152" s="20"/>
    </row>
    <row r="1153" spans="1:5" ht="12.95" customHeight="1" thickBot="1">
      <c r="A1153" s="172">
        <f t="shared" si="105"/>
        <v>5</v>
      </c>
      <c r="B1153" s="46">
        <f t="shared" si="104"/>
        <v>0</v>
      </c>
      <c r="C1153" s="92"/>
      <c r="D1153" s="24"/>
      <c r="E1153" s="25"/>
    </row>
    <row r="1154" ht="12.95" customHeight="1" thickTop="1"/>
    <row r="1155" ht="12.95" customHeight="1" thickBot="1"/>
    <row r="1156" spans="1:5" ht="30" customHeight="1" thickTop="1">
      <c r="A1156" s="1" t="s">
        <v>7</v>
      </c>
      <c r="B1156" s="2">
        <v>118</v>
      </c>
      <c r="C1156" s="3" t="s">
        <v>5</v>
      </c>
      <c r="D1156" s="4" t="s">
        <v>228</v>
      </c>
      <c r="E1156" s="5" t="s">
        <v>26</v>
      </c>
    </row>
    <row r="1157" spans="1:5" ht="30" customHeight="1">
      <c r="A1157" s="6" t="s">
        <v>2</v>
      </c>
      <c r="B1157" s="7" t="s">
        <v>230</v>
      </c>
      <c r="C1157" s="8"/>
      <c r="D1157" s="53"/>
      <c r="E1157" s="9"/>
    </row>
    <row r="1158" spans="1:5" ht="30" customHeight="1">
      <c r="A1158" s="6" t="s">
        <v>10</v>
      </c>
      <c r="B1158" s="7"/>
      <c r="C1158" s="8"/>
      <c r="D1158" s="55"/>
      <c r="E1158" s="9"/>
    </row>
    <row r="1159" spans="1:5" ht="30" customHeight="1" thickBot="1">
      <c r="A1159" s="6" t="s">
        <v>3</v>
      </c>
      <c r="B1159" s="7" t="s">
        <v>229</v>
      </c>
      <c r="C1159" s="83"/>
      <c r="D1159" s="56"/>
      <c r="E1159" s="57"/>
    </row>
    <row r="1160" spans="1:5" ht="30" customHeight="1">
      <c r="A1160" s="6" t="s">
        <v>4</v>
      </c>
      <c r="B1160" s="7" t="s">
        <v>65</v>
      </c>
      <c r="C1160" s="10" t="s">
        <v>6</v>
      </c>
      <c r="D1160" s="11">
        <v>1</v>
      </c>
      <c r="E1160" s="58"/>
    </row>
    <row r="1161" spans="1:5" ht="30" customHeight="1" thickBot="1">
      <c r="A1161" s="12" t="s">
        <v>11</v>
      </c>
      <c r="B1161" s="37" t="s">
        <v>66</v>
      </c>
      <c r="C1161" s="13" t="s">
        <v>0</v>
      </c>
      <c r="D1161" s="14">
        <f>IF(D1160&lt;0,"valor del indicador fuera de rango",IF(D1160&lt;=5,-0.2*D1160+1,"valor del indicador fuera rango"))</f>
        <v>0.8</v>
      </c>
      <c r="E1161" s="59"/>
    </row>
    <row r="1162" spans="1:5" ht="30" customHeight="1">
      <c r="A1162" s="15" t="s">
        <v>9</v>
      </c>
      <c r="B1162" s="16" t="s">
        <v>0</v>
      </c>
      <c r="C1162" s="192" t="s">
        <v>8</v>
      </c>
      <c r="D1162" s="193"/>
      <c r="E1162" s="194"/>
    </row>
    <row r="1163" spans="1:5" ht="12.95" customHeight="1">
      <c r="A1163" s="142">
        <v>0</v>
      </c>
      <c r="B1163" s="18">
        <f aca="true" t="shared" si="106" ref="B1163:B1183">-0.2*A1163+1</f>
        <v>1</v>
      </c>
      <c r="C1163" s="19"/>
      <c r="D1163" s="19"/>
      <c r="E1163" s="20"/>
    </row>
    <row r="1164" spans="1:5" ht="12.95" customHeight="1">
      <c r="A1164" s="142">
        <f>+A1163+0.25</f>
        <v>0.25</v>
      </c>
      <c r="B1164" s="18">
        <f t="shared" si="106"/>
        <v>0.95</v>
      </c>
      <c r="C1164" s="85"/>
      <c r="D1164" s="19"/>
      <c r="E1164" s="20"/>
    </row>
    <row r="1165" spans="1:5" ht="12.95" customHeight="1">
      <c r="A1165" s="142">
        <f aca="true" t="shared" si="107" ref="A1165:A1183">+A1164+0.25</f>
        <v>0.5</v>
      </c>
      <c r="B1165" s="18">
        <f t="shared" si="106"/>
        <v>0.9</v>
      </c>
      <c r="C1165" s="85"/>
      <c r="D1165" s="19"/>
      <c r="E1165" s="20"/>
    </row>
    <row r="1166" spans="1:5" ht="12.95" customHeight="1">
      <c r="A1166" s="142">
        <f t="shared" si="107"/>
        <v>0.75</v>
      </c>
      <c r="B1166" s="18">
        <f t="shared" si="106"/>
        <v>0.85</v>
      </c>
      <c r="C1166" s="85"/>
      <c r="D1166" s="19"/>
      <c r="E1166" s="20"/>
    </row>
    <row r="1167" spans="1:5" ht="12.95" customHeight="1">
      <c r="A1167" s="142">
        <f t="shared" si="107"/>
        <v>1</v>
      </c>
      <c r="B1167" s="18">
        <f t="shared" si="106"/>
        <v>0.8</v>
      </c>
      <c r="C1167" s="85"/>
      <c r="D1167" s="19"/>
      <c r="E1167" s="20"/>
    </row>
    <row r="1168" spans="1:5" ht="12.95" customHeight="1">
      <c r="A1168" s="142">
        <f t="shared" si="107"/>
        <v>1.25</v>
      </c>
      <c r="B1168" s="18">
        <f t="shared" si="106"/>
        <v>0.75</v>
      </c>
      <c r="C1168" s="85"/>
      <c r="D1168" s="19"/>
      <c r="E1168" s="20"/>
    </row>
    <row r="1169" spans="1:5" ht="12.95" customHeight="1">
      <c r="A1169" s="142">
        <f t="shared" si="107"/>
        <v>1.5</v>
      </c>
      <c r="B1169" s="18">
        <f t="shared" si="106"/>
        <v>0.7</v>
      </c>
      <c r="C1169" s="85"/>
      <c r="D1169" s="19"/>
      <c r="E1169" s="20"/>
    </row>
    <row r="1170" spans="1:5" ht="12.95" customHeight="1">
      <c r="A1170" s="142">
        <f t="shared" si="107"/>
        <v>1.75</v>
      </c>
      <c r="B1170" s="18">
        <f t="shared" si="106"/>
        <v>0.6499999999999999</v>
      </c>
      <c r="C1170" s="85"/>
      <c r="D1170" s="19"/>
      <c r="E1170" s="20"/>
    </row>
    <row r="1171" spans="1:5" ht="12.95" customHeight="1">
      <c r="A1171" s="142">
        <f t="shared" si="107"/>
        <v>2</v>
      </c>
      <c r="B1171" s="18">
        <f t="shared" si="106"/>
        <v>0.6</v>
      </c>
      <c r="C1171" s="85"/>
      <c r="D1171" s="19"/>
      <c r="E1171" s="20"/>
    </row>
    <row r="1172" spans="1:5" ht="12.95" customHeight="1">
      <c r="A1172" s="142">
        <f t="shared" si="107"/>
        <v>2.25</v>
      </c>
      <c r="B1172" s="18">
        <f t="shared" si="106"/>
        <v>0.55</v>
      </c>
      <c r="C1172" s="85"/>
      <c r="D1172" s="19"/>
      <c r="E1172" s="20"/>
    </row>
    <row r="1173" spans="1:5" ht="12.95" customHeight="1">
      <c r="A1173" s="142">
        <f t="shared" si="107"/>
        <v>2.5</v>
      </c>
      <c r="B1173" s="18">
        <f t="shared" si="106"/>
        <v>0.5</v>
      </c>
      <c r="C1173" s="85"/>
      <c r="D1173" s="19"/>
      <c r="E1173" s="20"/>
    </row>
    <row r="1174" spans="1:5" ht="12.95" customHeight="1">
      <c r="A1174" s="142">
        <f t="shared" si="107"/>
        <v>2.75</v>
      </c>
      <c r="B1174" s="18">
        <f t="shared" si="106"/>
        <v>0.44999999999999996</v>
      </c>
      <c r="C1174" s="85"/>
      <c r="D1174" s="19"/>
      <c r="E1174" s="20"/>
    </row>
    <row r="1175" spans="1:5" ht="12.95" customHeight="1">
      <c r="A1175" s="142">
        <f t="shared" si="107"/>
        <v>3</v>
      </c>
      <c r="B1175" s="18">
        <f t="shared" si="106"/>
        <v>0.3999999999999999</v>
      </c>
      <c r="C1175" s="85"/>
      <c r="D1175" s="19"/>
      <c r="E1175" s="20"/>
    </row>
    <row r="1176" spans="1:5" ht="12.95" customHeight="1">
      <c r="A1176" s="142">
        <f t="shared" si="107"/>
        <v>3.25</v>
      </c>
      <c r="B1176" s="18">
        <f t="shared" si="106"/>
        <v>0.35</v>
      </c>
      <c r="C1176" s="85"/>
      <c r="D1176" s="19"/>
      <c r="E1176" s="20"/>
    </row>
    <row r="1177" spans="1:5" ht="12.95" customHeight="1">
      <c r="A1177" s="142">
        <f t="shared" si="107"/>
        <v>3.5</v>
      </c>
      <c r="B1177" s="18">
        <f t="shared" si="106"/>
        <v>0.29999999999999993</v>
      </c>
      <c r="C1177" s="85"/>
      <c r="D1177" s="19"/>
      <c r="E1177" s="20"/>
    </row>
    <row r="1178" spans="1:5" ht="12.95" customHeight="1">
      <c r="A1178" s="142">
        <f t="shared" si="107"/>
        <v>3.75</v>
      </c>
      <c r="B1178" s="18">
        <f t="shared" si="106"/>
        <v>0.25</v>
      </c>
      <c r="C1178" s="85"/>
      <c r="D1178" s="19"/>
      <c r="E1178" s="20"/>
    </row>
    <row r="1179" spans="1:5" ht="12.95" customHeight="1">
      <c r="A1179" s="142">
        <f t="shared" si="107"/>
        <v>4</v>
      </c>
      <c r="B1179" s="18">
        <f t="shared" si="106"/>
        <v>0.19999999999999996</v>
      </c>
      <c r="C1179" s="85"/>
      <c r="D1179" s="19"/>
      <c r="E1179" s="20"/>
    </row>
    <row r="1180" spans="1:5" ht="12.95" customHeight="1">
      <c r="A1180" s="142">
        <f t="shared" si="107"/>
        <v>4.25</v>
      </c>
      <c r="B1180" s="18">
        <f t="shared" si="106"/>
        <v>0.1499999999999999</v>
      </c>
      <c r="C1180" s="85"/>
      <c r="D1180" s="19"/>
      <c r="E1180" s="20"/>
    </row>
    <row r="1181" spans="1:5" ht="12.95" customHeight="1">
      <c r="A1181" s="142">
        <f t="shared" si="107"/>
        <v>4.5</v>
      </c>
      <c r="B1181" s="18">
        <f t="shared" si="106"/>
        <v>0.09999999999999998</v>
      </c>
      <c r="C1181" s="85"/>
      <c r="D1181" s="19"/>
      <c r="E1181" s="20"/>
    </row>
    <row r="1182" spans="1:5" ht="12.95" customHeight="1">
      <c r="A1182" s="142">
        <f t="shared" si="107"/>
        <v>4.75</v>
      </c>
      <c r="B1182" s="18">
        <f t="shared" si="106"/>
        <v>0.04999999999999993</v>
      </c>
      <c r="C1182" s="85"/>
      <c r="D1182" s="19"/>
      <c r="E1182" s="20"/>
    </row>
    <row r="1183" spans="1:5" ht="12.95" customHeight="1" thickBot="1">
      <c r="A1183" s="172">
        <f t="shared" si="107"/>
        <v>5</v>
      </c>
      <c r="B1183" s="46">
        <f t="shared" si="106"/>
        <v>0</v>
      </c>
      <c r="C1183" s="92"/>
      <c r="D1183" s="24"/>
      <c r="E1183" s="25"/>
    </row>
    <row r="1184" ht="12.95" customHeight="1" thickTop="1"/>
    <row r="1185" ht="12.95" customHeight="1" thickBot="1"/>
    <row r="1186" spans="1:5" ht="30" customHeight="1" thickTop="1">
      <c r="A1186" s="1" t="s">
        <v>7</v>
      </c>
      <c r="B1186" s="2">
        <v>119</v>
      </c>
      <c r="C1186" s="3" t="s">
        <v>5</v>
      </c>
      <c r="D1186" s="4" t="s">
        <v>228</v>
      </c>
      <c r="E1186" s="5" t="s">
        <v>26</v>
      </c>
    </row>
    <row r="1187" spans="1:5" ht="30" customHeight="1">
      <c r="A1187" s="6" t="s">
        <v>2</v>
      </c>
      <c r="B1187" s="7" t="s">
        <v>231</v>
      </c>
      <c r="C1187" s="8"/>
      <c r="D1187" s="53"/>
      <c r="E1187" s="9"/>
    </row>
    <row r="1188" spans="1:5" ht="30" customHeight="1">
      <c r="A1188" s="6" t="s">
        <v>10</v>
      </c>
      <c r="B1188" s="7"/>
      <c r="C1188" s="8"/>
      <c r="D1188" s="55"/>
      <c r="E1188" s="9"/>
    </row>
    <row r="1189" spans="1:5" ht="30" customHeight="1" thickBot="1">
      <c r="A1189" s="6" t="s">
        <v>3</v>
      </c>
      <c r="B1189" s="7" t="s">
        <v>229</v>
      </c>
      <c r="C1189" s="83"/>
      <c r="D1189" s="56"/>
      <c r="E1189" s="57"/>
    </row>
    <row r="1190" spans="1:5" ht="30" customHeight="1">
      <c r="A1190" s="6" t="s">
        <v>4</v>
      </c>
      <c r="B1190" s="7" t="s">
        <v>65</v>
      </c>
      <c r="C1190" s="10" t="s">
        <v>6</v>
      </c>
      <c r="D1190" s="11">
        <v>1</v>
      </c>
      <c r="E1190" s="58"/>
    </row>
    <row r="1191" spans="1:5" ht="30" customHeight="1" thickBot="1">
      <c r="A1191" s="12" t="s">
        <v>11</v>
      </c>
      <c r="B1191" s="37" t="s">
        <v>66</v>
      </c>
      <c r="C1191" s="13" t="s">
        <v>0</v>
      </c>
      <c r="D1191" s="14">
        <f>IF(D1190&lt;0,"valor del indicador fuera de rango",IF(D1190&lt;=5,-0.2*D1190+1,"valor del indicador fuera rango"))</f>
        <v>0.8</v>
      </c>
      <c r="E1191" s="59"/>
    </row>
    <row r="1192" spans="1:5" ht="30" customHeight="1">
      <c r="A1192" s="15" t="s">
        <v>9</v>
      </c>
      <c r="B1192" s="16" t="s">
        <v>0</v>
      </c>
      <c r="C1192" s="192" t="s">
        <v>8</v>
      </c>
      <c r="D1192" s="193"/>
      <c r="E1192" s="194"/>
    </row>
    <row r="1193" spans="1:5" ht="12.95" customHeight="1">
      <c r="A1193" s="142">
        <v>0</v>
      </c>
      <c r="B1193" s="18">
        <f aca="true" t="shared" si="108" ref="B1193:B1213">-0.2*A1193+1</f>
        <v>1</v>
      </c>
      <c r="C1193" s="19"/>
      <c r="D1193" s="19"/>
      <c r="E1193" s="20"/>
    </row>
    <row r="1194" spans="1:5" ht="12.95" customHeight="1">
      <c r="A1194" s="142">
        <f>+A1193+0.25</f>
        <v>0.25</v>
      </c>
      <c r="B1194" s="18">
        <f t="shared" si="108"/>
        <v>0.95</v>
      </c>
      <c r="C1194" s="85"/>
      <c r="D1194" s="19"/>
      <c r="E1194" s="20"/>
    </row>
    <row r="1195" spans="1:5" ht="12.95" customHeight="1">
      <c r="A1195" s="142">
        <f aca="true" t="shared" si="109" ref="A1195:A1213">+A1194+0.25</f>
        <v>0.5</v>
      </c>
      <c r="B1195" s="18">
        <f t="shared" si="108"/>
        <v>0.9</v>
      </c>
      <c r="C1195" s="85"/>
      <c r="D1195" s="19"/>
      <c r="E1195" s="20"/>
    </row>
    <row r="1196" spans="1:5" ht="12.95" customHeight="1">
      <c r="A1196" s="142">
        <f t="shared" si="109"/>
        <v>0.75</v>
      </c>
      <c r="B1196" s="18">
        <f t="shared" si="108"/>
        <v>0.85</v>
      </c>
      <c r="C1196" s="85"/>
      <c r="D1196" s="19"/>
      <c r="E1196" s="20"/>
    </row>
    <row r="1197" spans="1:5" ht="12.95" customHeight="1">
      <c r="A1197" s="142">
        <f t="shared" si="109"/>
        <v>1</v>
      </c>
      <c r="B1197" s="18">
        <f t="shared" si="108"/>
        <v>0.8</v>
      </c>
      <c r="C1197" s="85"/>
      <c r="D1197" s="19"/>
      <c r="E1197" s="20"/>
    </row>
    <row r="1198" spans="1:5" ht="12.95" customHeight="1">
      <c r="A1198" s="142">
        <f t="shared" si="109"/>
        <v>1.25</v>
      </c>
      <c r="B1198" s="18">
        <f t="shared" si="108"/>
        <v>0.75</v>
      </c>
      <c r="C1198" s="85"/>
      <c r="D1198" s="19"/>
      <c r="E1198" s="20"/>
    </row>
    <row r="1199" spans="1:5" ht="12.95" customHeight="1">
      <c r="A1199" s="142">
        <f t="shared" si="109"/>
        <v>1.5</v>
      </c>
      <c r="B1199" s="18">
        <f t="shared" si="108"/>
        <v>0.7</v>
      </c>
      <c r="C1199" s="85"/>
      <c r="D1199" s="19"/>
      <c r="E1199" s="20"/>
    </row>
    <row r="1200" spans="1:5" ht="12.95" customHeight="1">
      <c r="A1200" s="142">
        <f t="shared" si="109"/>
        <v>1.75</v>
      </c>
      <c r="B1200" s="18">
        <f t="shared" si="108"/>
        <v>0.6499999999999999</v>
      </c>
      <c r="C1200" s="85"/>
      <c r="D1200" s="19"/>
      <c r="E1200" s="20"/>
    </row>
    <row r="1201" spans="1:5" ht="12.95" customHeight="1">
      <c r="A1201" s="142">
        <f t="shared" si="109"/>
        <v>2</v>
      </c>
      <c r="B1201" s="18">
        <f t="shared" si="108"/>
        <v>0.6</v>
      </c>
      <c r="C1201" s="85"/>
      <c r="D1201" s="19"/>
      <c r="E1201" s="20"/>
    </row>
    <row r="1202" spans="1:5" ht="12.95" customHeight="1">
      <c r="A1202" s="142">
        <f t="shared" si="109"/>
        <v>2.25</v>
      </c>
      <c r="B1202" s="18">
        <f t="shared" si="108"/>
        <v>0.55</v>
      </c>
      <c r="C1202" s="85"/>
      <c r="D1202" s="19"/>
      <c r="E1202" s="20"/>
    </row>
    <row r="1203" spans="1:5" ht="12.95" customHeight="1">
      <c r="A1203" s="142">
        <f t="shared" si="109"/>
        <v>2.5</v>
      </c>
      <c r="B1203" s="18">
        <f t="shared" si="108"/>
        <v>0.5</v>
      </c>
      <c r="C1203" s="85"/>
      <c r="D1203" s="19"/>
      <c r="E1203" s="20"/>
    </row>
    <row r="1204" spans="1:5" ht="12.95" customHeight="1">
      <c r="A1204" s="142">
        <f t="shared" si="109"/>
        <v>2.75</v>
      </c>
      <c r="B1204" s="18">
        <f t="shared" si="108"/>
        <v>0.44999999999999996</v>
      </c>
      <c r="C1204" s="85"/>
      <c r="D1204" s="19"/>
      <c r="E1204" s="20"/>
    </row>
    <row r="1205" spans="1:5" ht="12.95" customHeight="1">
      <c r="A1205" s="142">
        <f t="shared" si="109"/>
        <v>3</v>
      </c>
      <c r="B1205" s="18">
        <f t="shared" si="108"/>
        <v>0.3999999999999999</v>
      </c>
      <c r="C1205" s="85"/>
      <c r="D1205" s="19"/>
      <c r="E1205" s="20"/>
    </row>
    <row r="1206" spans="1:5" ht="12.95" customHeight="1">
      <c r="A1206" s="142">
        <f t="shared" si="109"/>
        <v>3.25</v>
      </c>
      <c r="B1206" s="18">
        <f t="shared" si="108"/>
        <v>0.35</v>
      </c>
      <c r="C1206" s="85"/>
      <c r="D1206" s="19"/>
      <c r="E1206" s="20"/>
    </row>
    <row r="1207" spans="1:5" ht="12.95" customHeight="1">
      <c r="A1207" s="142">
        <f t="shared" si="109"/>
        <v>3.5</v>
      </c>
      <c r="B1207" s="18">
        <f t="shared" si="108"/>
        <v>0.29999999999999993</v>
      </c>
      <c r="C1207" s="85"/>
      <c r="D1207" s="19"/>
      <c r="E1207" s="20"/>
    </row>
    <row r="1208" spans="1:5" ht="12.95" customHeight="1">
      <c r="A1208" s="142">
        <f t="shared" si="109"/>
        <v>3.75</v>
      </c>
      <c r="B1208" s="18">
        <f t="shared" si="108"/>
        <v>0.25</v>
      </c>
      <c r="C1208" s="85"/>
      <c r="D1208" s="19"/>
      <c r="E1208" s="20"/>
    </row>
    <row r="1209" spans="1:5" ht="12.95" customHeight="1">
      <c r="A1209" s="142">
        <f t="shared" si="109"/>
        <v>4</v>
      </c>
      <c r="B1209" s="18">
        <f t="shared" si="108"/>
        <v>0.19999999999999996</v>
      </c>
      <c r="C1209" s="85"/>
      <c r="D1209" s="19"/>
      <c r="E1209" s="20"/>
    </row>
    <row r="1210" spans="1:5" ht="12.95" customHeight="1">
      <c r="A1210" s="142">
        <f t="shared" si="109"/>
        <v>4.25</v>
      </c>
      <c r="B1210" s="18">
        <f t="shared" si="108"/>
        <v>0.1499999999999999</v>
      </c>
      <c r="C1210" s="85"/>
      <c r="D1210" s="19"/>
      <c r="E1210" s="20"/>
    </row>
    <row r="1211" spans="1:5" ht="12.95" customHeight="1">
      <c r="A1211" s="142">
        <f t="shared" si="109"/>
        <v>4.5</v>
      </c>
      <c r="B1211" s="18">
        <f t="shared" si="108"/>
        <v>0.09999999999999998</v>
      </c>
      <c r="C1211" s="85"/>
      <c r="D1211" s="19"/>
      <c r="E1211" s="20"/>
    </row>
    <row r="1212" spans="1:5" ht="12.95" customHeight="1">
      <c r="A1212" s="142">
        <f t="shared" si="109"/>
        <v>4.75</v>
      </c>
      <c r="B1212" s="18">
        <f t="shared" si="108"/>
        <v>0.04999999999999993</v>
      </c>
      <c r="C1212" s="85"/>
      <c r="D1212" s="19"/>
      <c r="E1212" s="20"/>
    </row>
    <row r="1213" spans="1:5" ht="12.95" customHeight="1" thickBot="1">
      <c r="A1213" s="172">
        <f t="shared" si="109"/>
        <v>5</v>
      </c>
      <c r="B1213" s="46">
        <f t="shared" si="108"/>
        <v>0</v>
      </c>
      <c r="C1213" s="92"/>
      <c r="D1213" s="24"/>
      <c r="E1213" s="25"/>
    </row>
    <row r="1214" ht="12.95" customHeight="1" thickTop="1"/>
    <row r="1215" ht="12.95" customHeight="1" thickBot="1"/>
    <row r="1216" spans="1:5" ht="30" customHeight="1" thickTop="1">
      <c r="A1216" s="1" t="s">
        <v>7</v>
      </c>
      <c r="B1216" s="2">
        <v>120</v>
      </c>
      <c r="C1216" s="3" t="s">
        <v>5</v>
      </c>
      <c r="D1216" s="4" t="s">
        <v>233</v>
      </c>
      <c r="E1216" s="5" t="s">
        <v>168</v>
      </c>
    </row>
    <row r="1217" spans="1:5" ht="30" customHeight="1">
      <c r="A1217" s="6" t="s">
        <v>2</v>
      </c>
      <c r="B1217" s="7" t="s">
        <v>232</v>
      </c>
      <c r="C1217" s="8"/>
      <c r="D1217" s="53"/>
      <c r="E1217" s="9"/>
    </row>
    <row r="1218" spans="1:5" ht="30" customHeight="1">
      <c r="A1218" s="6" t="s">
        <v>10</v>
      </c>
      <c r="B1218" s="7"/>
      <c r="C1218" s="8"/>
      <c r="D1218" s="55"/>
      <c r="E1218" s="9"/>
    </row>
    <row r="1219" spans="1:5" ht="30" customHeight="1" thickBot="1">
      <c r="A1219" s="6" t="s">
        <v>3</v>
      </c>
      <c r="B1219" s="7" t="s">
        <v>229</v>
      </c>
      <c r="C1219" s="83"/>
      <c r="D1219" s="56"/>
      <c r="E1219" s="57"/>
    </row>
    <row r="1220" spans="1:5" ht="30" customHeight="1">
      <c r="A1220" s="6" t="s">
        <v>4</v>
      </c>
      <c r="B1220" s="7" t="s">
        <v>235</v>
      </c>
      <c r="C1220" s="10" t="s">
        <v>6</v>
      </c>
      <c r="D1220" s="11">
        <v>0.002</v>
      </c>
      <c r="E1220" s="58"/>
    </row>
    <row r="1221" spans="1:5" ht="30" customHeight="1" thickBot="1">
      <c r="A1221" s="12" t="s">
        <v>11</v>
      </c>
      <c r="B1221" s="37" t="s">
        <v>66</v>
      </c>
      <c r="C1221" s="13" t="s">
        <v>0</v>
      </c>
      <c r="D1221" s="14">
        <f>IF(D1220&lt;0,"valor del indicador fuera de rango",IF(D1220&lt;=0.01,-100*D1220+1,"valor del indicador fuera rango"))</f>
        <v>0.8</v>
      </c>
      <c r="E1221" s="59"/>
    </row>
    <row r="1222" spans="1:5" ht="30" customHeight="1">
      <c r="A1222" s="15" t="s">
        <v>9</v>
      </c>
      <c r="B1222" s="16" t="s">
        <v>0</v>
      </c>
      <c r="C1222" s="192" t="s">
        <v>8</v>
      </c>
      <c r="D1222" s="193"/>
      <c r="E1222" s="194"/>
    </row>
    <row r="1223" spans="1:5" ht="12.95" customHeight="1">
      <c r="A1223" s="158">
        <v>0</v>
      </c>
      <c r="B1223" s="18">
        <f aca="true" t="shared" si="110" ref="B1223:B1243">-100*A1223+1</f>
        <v>1</v>
      </c>
      <c r="C1223" s="19"/>
      <c r="D1223" s="19"/>
      <c r="E1223" s="20"/>
    </row>
    <row r="1224" spans="1:5" ht="12.95" customHeight="1">
      <c r="A1224" s="158">
        <f>+A1223+0.0005</f>
        <v>0.0005</v>
      </c>
      <c r="B1224" s="18">
        <f t="shared" si="110"/>
        <v>0.95</v>
      </c>
      <c r="C1224" s="85"/>
      <c r="D1224" s="19"/>
      <c r="E1224" s="20"/>
    </row>
    <row r="1225" spans="1:5" ht="12.95" customHeight="1">
      <c r="A1225" s="158">
        <f aca="true" t="shared" si="111" ref="A1225:A1243">+A1224+0.0005</f>
        <v>0.001</v>
      </c>
      <c r="B1225" s="18">
        <f t="shared" si="110"/>
        <v>0.9</v>
      </c>
      <c r="C1225" s="85"/>
      <c r="D1225" s="19"/>
      <c r="E1225" s="20"/>
    </row>
    <row r="1226" spans="1:5" ht="12.95" customHeight="1">
      <c r="A1226" s="158">
        <f t="shared" si="111"/>
        <v>0.0015</v>
      </c>
      <c r="B1226" s="18">
        <f t="shared" si="110"/>
        <v>0.85</v>
      </c>
      <c r="C1226" s="85"/>
      <c r="D1226" s="19"/>
      <c r="E1226" s="20"/>
    </row>
    <row r="1227" spans="1:5" ht="12.95" customHeight="1">
      <c r="A1227" s="158">
        <f t="shared" si="111"/>
        <v>0.002</v>
      </c>
      <c r="B1227" s="18">
        <f t="shared" si="110"/>
        <v>0.8</v>
      </c>
      <c r="C1227" s="85"/>
      <c r="D1227" s="19"/>
      <c r="E1227" s="20"/>
    </row>
    <row r="1228" spans="1:5" ht="12.95" customHeight="1">
      <c r="A1228" s="158">
        <f t="shared" si="111"/>
        <v>0.0025</v>
      </c>
      <c r="B1228" s="18">
        <f t="shared" si="110"/>
        <v>0.75</v>
      </c>
      <c r="C1228" s="85"/>
      <c r="D1228" s="19"/>
      <c r="E1228" s="20"/>
    </row>
    <row r="1229" spans="1:5" ht="12.95" customHeight="1">
      <c r="A1229" s="158">
        <f t="shared" si="111"/>
        <v>0.003</v>
      </c>
      <c r="B1229" s="18">
        <f t="shared" si="110"/>
        <v>0.7</v>
      </c>
      <c r="C1229" s="85"/>
      <c r="D1229" s="19"/>
      <c r="E1229" s="20"/>
    </row>
    <row r="1230" spans="1:5" ht="12.95" customHeight="1">
      <c r="A1230" s="158">
        <f t="shared" si="111"/>
        <v>0.0035</v>
      </c>
      <c r="B1230" s="18">
        <f t="shared" si="110"/>
        <v>0.6499999999999999</v>
      </c>
      <c r="C1230" s="85"/>
      <c r="D1230" s="19"/>
      <c r="E1230" s="20"/>
    </row>
    <row r="1231" spans="1:5" ht="12.95" customHeight="1">
      <c r="A1231" s="158">
        <f t="shared" si="111"/>
        <v>0.004</v>
      </c>
      <c r="B1231" s="18">
        <f t="shared" si="110"/>
        <v>0.6</v>
      </c>
      <c r="C1231" s="85"/>
      <c r="D1231" s="19"/>
      <c r="E1231" s="20"/>
    </row>
    <row r="1232" spans="1:5" ht="12.95" customHeight="1">
      <c r="A1232" s="158">
        <f t="shared" si="111"/>
        <v>0.0045000000000000005</v>
      </c>
      <c r="B1232" s="18">
        <f t="shared" si="110"/>
        <v>0.5499999999999999</v>
      </c>
      <c r="C1232" s="85"/>
      <c r="D1232" s="19"/>
      <c r="E1232" s="20"/>
    </row>
    <row r="1233" spans="1:5" ht="12.95" customHeight="1">
      <c r="A1233" s="158">
        <f t="shared" si="111"/>
        <v>0.005000000000000001</v>
      </c>
      <c r="B1233" s="18">
        <f t="shared" si="110"/>
        <v>0.4999999999999999</v>
      </c>
      <c r="C1233" s="85"/>
      <c r="D1233" s="19"/>
      <c r="E1233" s="20"/>
    </row>
    <row r="1234" spans="1:5" ht="12.95" customHeight="1">
      <c r="A1234" s="158">
        <f t="shared" si="111"/>
        <v>0.005500000000000001</v>
      </c>
      <c r="B1234" s="18">
        <f t="shared" si="110"/>
        <v>0.44999999999999984</v>
      </c>
      <c r="C1234" s="85"/>
      <c r="D1234" s="19"/>
      <c r="E1234" s="20"/>
    </row>
    <row r="1235" spans="1:5" ht="12.95" customHeight="1">
      <c r="A1235" s="158">
        <f t="shared" si="111"/>
        <v>0.006000000000000002</v>
      </c>
      <c r="B1235" s="18">
        <f t="shared" si="110"/>
        <v>0.3999999999999998</v>
      </c>
      <c r="C1235" s="85"/>
      <c r="D1235" s="19"/>
      <c r="E1235" s="20"/>
    </row>
    <row r="1236" spans="1:5" ht="12.95" customHeight="1">
      <c r="A1236" s="158">
        <f t="shared" si="111"/>
        <v>0.006500000000000002</v>
      </c>
      <c r="B1236" s="18">
        <f t="shared" si="110"/>
        <v>0.34999999999999976</v>
      </c>
      <c r="C1236" s="85"/>
      <c r="D1236" s="19"/>
      <c r="E1236" s="20"/>
    </row>
    <row r="1237" spans="1:5" ht="12.95" customHeight="1">
      <c r="A1237" s="158">
        <f t="shared" si="111"/>
        <v>0.007000000000000003</v>
      </c>
      <c r="B1237" s="18">
        <f t="shared" si="110"/>
        <v>0.2999999999999997</v>
      </c>
      <c r="C1237" s="85"/>
      <c r="D1237" s="19"/>
      <c r="E1237" s="20"/>
    </row>
    <row r="1238" spans="1:5" ht="12.95" customHeight="1">
      <c r="A1238" s="158">
        <f t="shared" si="111"/>
        <v>0.007500000000000003</v>
      </c>
      <c r="B1238" s="18">
        <f t="shared" si="110"/>
        <v>0.24999999999999967</v>
      </c>
      <c r="C1238" s="85"/>
      <c r="D1238" s="19"/>
      <c r="E1238" s="20"/>
    </row>
    <row r="1239" spans="1:5" ht="12.95" customHeight="1">
      <c r="A1239" s="158">
        <f t="shared" si="111"/>
        <v>0.008000000000000004</v>
      </c>
      <c r="B1239" s="18">
        <f t="shared" si="110"/>
        <v>0.19999999999999962</v>
      </c>
      <c r="C1239" s="85"/>
      <c r="D1239" s="19"/>
      <c r="E1239" s="20"/>
    </row>
    <row r="1240" spans="1:5" ht="12.95" customHeight="1">
      <c r="A1240" s="158">
        <f t="shared" si="111"/>
        <v>0.008500000000000004</v>
      </c>
      <c r="B1240" s="18">
        <f t="shared" si="110"/>
        <v>0.14999999999999958</v>
      </c>
      <c r="C1240" s="85"/>
      <c r="D1240" s="19"/>
      <c r="E1240" s="20"/>
    </row>
    <row r="1241" spans="1:5" ht="12.95" customHeight="1">
      <c r="A1241" s="158">
        <f t="shared" si="111"/>
        <v>0.009000000000000005</v>
      </c>
      <c r="B1241" s="18">
        <f t="shared" si="110"/>
        <v>0.09999999999999953</v>
      </c>
      <c r="C1241" s="85"/>
      <c r="D1241" s="19"/>
      <c r="E1241" s="20"/>
    </row>
    <row r="1242" spans="1:5" ht="12.95" customHeight="1">
      <c r="A1242" s="158">
        <f t="shared" si="111"/>
        <v>0.009500000000000005</v>
      </c>
      <c r="B1242" s="18">
        <f t="shared" si="110"/>
        <v>0.04999999999999949</v>
      </c>
      <c r="C1242" s="85"/>
      <c r="D1242" s="19"/>
      <c r="E1242" s="20"/>
    </row>
    <row r="1243" spans="1:5" ht="12.95" customHeight="1" thickBot="1">
      <c r="A1243" s="173">
        <f t="shared" si="111"/>
        <v>0.010000000000000005</v>
      </c>
      <c r="B1243" s="46">
        <f t="shared" si="110"/>
        <v>0</v>
      </c>
      <c r="C1243" s="92"/>
      <c r="D1243" s="24"/>
      <c r="E1243" s="25"/>
    </row>
    <row r="1244" ht="12.95" customHeight="1" thickTop="1"/>
    <row r="1245" ht="12.95" customHeight="1" thickBot="1"/>
    <row r="1246" spans="1:5" ht="30" customHeight="1" thickTop="1">
      <c r="A1246" s="1" t="s">
        <v>7</v>
      </c>
      <c r="B1246" s="2">
        <v>121</v>
      </c>
      <c r="C1246" s="3" t="s">
        <v>5</v>
      </c>
      <c r="D1246" s="4" t="s">
        <v>236</v>
      </c>
      <c r="E1246" s="5" t="s">
        <v>237</v>
      </c>
    </row>
    <row r="1247" spans="1:5" ht="30" customHeight="1">
      <c r="A1247" s="6" t="s">
        <v>2</v>
      </c>
      <c r="B1247" s="7" t="s">
        <v>232</v>
      </c>
      <c r="C1247" s="8"/>
      <c r="D1247" s="53" t="s">
        <v>238</v>
      </c>
      <c r="E1247" s="9" t="s">
        <v>216</v>
      </c>
    </row>
    <row r="1248" spans="1:5" ht="30" customHeight="1">
      <c r="A1248" s="6" t="s">
        <v>10</v>
      </c>
      <c r="B1248" s="7"/>
      <c r="C1248" s="8"/>
      <c r="D1248" s="55"/>
      <c r="E1248" s="9"/>
    </row>
    <row r="1249" spans="1:5" ht="30" customHeight="1" thickBot="1">
      <c r="A1249" s="6" t="s">
        <v>3</v>
      </c>
      <c r="B1249" s="7" t="s">
        <v>234</v>
      </c>
      <c r="C1249" s="83"/>
      <c r="D1249" s="56"/>
      <c r="E1249" s="57"/>
    </row>
    <row r="1250" spans="1:5" ht="30" customHeight="1">
      <c r="A1250" s="6" t="s">
        <v>4</v>
      </c>
      <c r="B1250" s="7" t="s">
        <v>143</v>
      </c>
      <c r="C1250" s="10" t="s">
        <v>6</v>
      </c>
      <c r="D1250" s="11">
        <v>0.3</v>
      </c>
      <c r="E1250" s="58"/>
    </row>
    <row r="1251" spans="1:5" ht="30" customHeight="1" thickBot="1">
      <c r="A1251" s="12" t="s">
        <v>11</v>
      </c>
      <c r="B1251" s="37" t="s">
        <v>66</v>
      </c>
      <c r="C1251" s="13" t="s">
        <v>0</v>
      </c>
      <c r="D1251" s="14">
        <f>IF(D1250&lt;0,"valor del indicador fuera de rango",IF(D1250&lt;=0.1,(-3*D1250+1),IF(D1250&lt;=1,(-0.778*D1250+0.778),"valor del indicador fuera rango")))</f>
        <v>0.5446</v>
      </c>
      <c r="E1251" s="59"/>
    </row>
    <row r="1252" spans="1:5" ht="30" customHeight="1">
      <c r="A1252" s="15" t="s">
        <v>9</v>
      </c>
      <c r="B1252" s="16" t="s">
        <v>0</v>
      </c>
      <c r="C1252" s="192" t="s">
        <v>8</v>
      </c>
      <c r="D1252" s="193"/>
      <c r="E1252" s="194"/>
    </row>
    <row r="1253" spans="1:5" ht="12.95" customHeight="1">
      <c r="A1253" s="141">
        <v>0</v>
      </c>
      <c r="B1253" s="18">
        <f>-3*A1253+1</f>
        <v>1</v>
      </c>
      <c r="C1253" s="19"/>
      <c r="D1253" s="19"/>
      <c r="E1253" s="20"/>
    </row>
    <row r="1254" spans="1:5" ht="12.95" customHeight="1">
      <c r="A1254" s="142">
        <f>+A1253+0.05</f>
        <v>0.05</v>
      </c>
      <c r="B1254" s="18">
        <f>-3*A1254+1</f>
        <v>0.85</v>
      </c>
      <c r="C1254" s="85"/>
      <c r="D1254" s="19"/>
      <c r="E1254" s="20"/>
    </row>
    <row r="1255" spans="1:5" ht="12.95" customHeight="1">
      <c r="A1255" s="142">
        <f aca="true" t="shared" si="112" ref="A1255:A1273">+A1254+0.05</f>
        <v>0.1</v>
      </c>
      <c r="B1255" s="18">
        <f>-3*A1255+1</f>
        <v>0.7</v>
      </c>
      <c r="C1255" s="85"/>
      <c r="D1255" s="19"/>
      <c r="E1255" s="20"/>
    </row>
    <row r="1256" spans="1:5" ht="12.95" customHeight="1">
      <c r="A1256" s="143">
        <f t="shared" si="112"/>
        <v>0.15000000000000002</v>
      </c>
      <c r="B1256" s="54">
        <f aca="true" t="shared" si="113" ref="B1256:B1264">-0.778*A1256+0.778</f>
        <v>0.6613</v>
      </c>
      <c r="C1256" s="85"/>
      <c r="D1256" s="19"/>
      <c r="E1256" s="20"/>
    </row>
    <row r="1257" spans="1:5" ht="12.95" customHeight="1">
      <c r="A1257" s="143">
        <f t="shared" si="112"/>
        <v>0.2</v>
      </c>
      <c r="B1257" s="54">
        <f t="shared" si="113"/>
        <v>0.6224000000000001</v>
      </c>
      <c r="C1257" s="85"/>
      <c r="D1257" s="19"/>
      <c r="E1257" s="20"/>
    </row>
    <row r="1258" spans="1:5" ht="12.95" customHeight="1">
      <c r="A1258" s="143">
        <f t="shared" si="112"/>
        <v>0.25</v>
      </c>
      <c r="B1258" s="54">
        <f t="shared" si="113"/>
        <v>0.5835</v>
      </c>
      <c r="C1258" s="85"/>
      <c r="D1258" s="19"/>
      <c r="E1258" s="20"/>
    </row>
    <row r="1259" spans="1:5" ht="12.95" customHeight="1">
      <c r="A1259" s="143">
        <f t="shared" si="112"/>
        <v>0.3</v>
      </c>
      <c r="B1259" s="54">
        <f t="shared" si="113"/>
        <v>0.5446</v>
      </c>
      <c r="C1259" s="85"/>
      <c r="D1259" s="19"/>
      <c r="E1259" s="20"/>
    </row>
    <row r="1260" spans="1:5" ht="12.95" customHeight="1">
      <c r="A1260" s="143">
        <f t="shared" si="112"/>
        <v>0.35</v>
      </c>
      <c r="B1260" s="54">
        <f t="shared" si="113"/>
        <v>0.5057</v>
      </c>
      <c r="C1260" s="85"/>
      <c r="D1260" s="19"/>
      <c r="E1260" s="20"/>
    </row>
    <row r="1261" spans="1:5" ht="12.95" customHeight="1">
      <c r="A1261" s="143">
        <f t="shared" si="112"/>
        <v>0.39999999999999997</v>
      </c>
      <c r="B1261" s="54">
        <f t="shared" si="113"/>
        <v>0.46680000000000005</v>
      </c>
      <c r="C1261" s="85"/>
      <c r="D1261" s="19"/>
      <c r="E1261" s="20"/>
    </row>
    <row r="1262" spans="1:5" ht="12.95" customHeight="1">
      <c r="A1262" s="143">
        <f t="shared" si="112"/>
        <v>0.44999999999999996</v>
      </c>
      <c r="B1262" s="54">
        <f t="shared" si="113"/>
        <v>0.42790000000000006</v>
      </c>
      <c r="C1262" s="85"/>
      <c r="D1262" s="19"/>
      <c r="E1262" s="20"/>
    </row>
    <row r="1263" spans="1:5" ht="12.95" customHeight="1">
      <c r="A1263" s="143">
        <f t="shared" si="112"/>
        <v>0.49999999999999994</v>
      </c>
      <c r="B1263" s="54">
        <f t="shared" si="113"/>
        <v>0.38900000000000007</v>
      </c>
      <c r="C1263" s="85"/>
      <c r="D1263" s="19"/>
      <c r="E1263" s="20"/>
    </row>
    <row r="1264" spans="1:5" ht="12.95" customHeight="1">
      <c r="A1264" s="143">
        <f t="shared" si="112"/>
        <v>0.5499999999999999</v>
      </c>
      <c r="B1264" s="54">
        <f t="shared" si="113"/>
        <v>0.3501000000000001</v>
      </c>
      <c r="C1264" s="85"/>
      <c r="D1264" s="19"/>
      <c r="E1264" s="20"/>
    </row>
    <row r="1265" spans="1:5" ht="12.95" customHeight="1">
      <c r="A1265" s="143">
        <f t="shared" si="112"/>
        <v>0.6</v>
      </c>
      <c r="B1265" s="54">
        <f>-0.778*A1265+0.778</f>
        <v>0.31120000000000003</v>
      </c>
      <c r="C1265" s="85"/>
      <c r="D1265" s="19"/>
      <c r="E1265" s="20"/>
    </row>
    <row r="1266" spans="1:5" ht="12.95" customHeight="1">
      <c r="A1266" s="143">
        <f t="shared" si="112"/>
        <v>0.65</v>
      </c>
      <c r="B1266" s="54">
        <f>-0.778*A1266+0.778</f>
        <v>0.2723</v>
      </c>
      <c r="C1266" s="85"/>
      <c r="D1266" s="19"/>
      <c r="E1266" s="20"/>
    </row>
    <row r="1267" spans="1:5" ht="12.95" customHeight="1">
      <c r="A1267" s="143">
        <f t="shared" si="112"/>
        <v>0.7000000000000001</v>
      </c>
      <c r="B1267" s="54">
        <f aca="true" t="shared" si="114" ref="B1267:B1273">-0.778*A1267+0.778</f>
        <v>0.23339999999999994</v>
      </c>
      <c r="C1267" s="85"/>
      <c r="D1267" s="19"/>
      <c r="E1267" s="20"/>
    </row>
    <row r="1268" spans="1:5" ht="12.95" customHeight="1">
      <c r="A1268" s="143">
        <f t="shared" si="112"/>
        <v>0.7500000000000001</v>
      </c>
      <c r="B1268" s="54">
        <f t="shared" si="114"/>
        <v>0.1944999999999999</v>
      </c>
      <c r="C1268" s="85"/>
      <c r="D1268" s="19"/>
      <c r="E1268" s="20"/>
    </row>
    <row r="1269" spans="1:5" ht="12.95" customHeight="1">
      <c r="A1269" s="143">
        <f t="shared" si="112"/>
        <v>0.8000000000000002</v>
      </c>
      <c r="B1269" s="54">
        <f t="shared" si="114"/>
        <v>0.15559999999999985</v>
      </c>
      <c r="C1269" s="85"/>
      <c r="D1269" s="19"/>
      <c r="E1269" s="20"/>
    </row>
    <row r="1270" spans="1:5" ht="12.95" customHeight="1">
      <c r="A1270" s="143">
        <f t="shared" si="112"/>
        <v>0.8500000000000002</v>
      </c>
      <c r="B1270" s="54">
        <f t="shared" si="114"/>
        <v>0.1166999999999998</v>
      </c>
      <c r="C1270" s="85"/>
      <c r="D1270" s="19"/>
      <c r="E1270" s="20"/>
    </row>
    <row r="1271" spans="1:5" ht="12.95" customHeight="1">
      <c r="A1271" s="143">
        <f t="shared" si="112"/>
        <v>0.9000000000000002</v>
      </c>
      <c r="B1271" s="54">
        <f t="shared" si="114"/>
        <v>0.07779999999999976</v>
      </c>
      <c r="C1271" s="85"/>
      <c r="D1271" s="19"/>
      <c r="E1271" s="20"/>
    </row>
    <row r="1272" spans="1:5" ht="12.95" customHeight="1">
      <c r="A1272" s="143">
        <f t="shared" si="112"/>
        <v>0.9500000000000003</v>
      </c>
      <c r="B1272" s="54">
        <f t="shared" si="114"/>
        <v>0.038899999999999824</v>
      </c>
      <c r="C1272" s="85"/>
      <c r="D1272" s="19"/>
      <c r="E1272" s="20"/>
    </row>
    <row r="1273" spans="1:5" ht="12.95" customHeight="1" thickBot="1">
      <c r="A1273" s="149">
        <f t="shared" si="112"/>
        <v>1.0000000000000002</v>
      </c>
      <c r="B1273" s="91">
        <f t="shared" si="114"/>
        <v>0</v>
      </c>
      <c r="C1273" s="92"/>
      <c r="D1273" s="24"/>
      <c r="E1273" s="25"/>
    </row>
    <row r="1274" ht="12.95" customHeight="1" thickTop="1"/>
    <row r="1275" ht="12.95" customHeight="1" thickBot="1"/>
    <row r="1276" spans="1:5" ht="30" customHeight="1" thickTop="1">
      <c r="A1276" s="1" t="s">
        <v>7</v>
      </c>
      <c r="B1276" s="2">
        <v>122</v>
      </c>
      <c r="C1276" s="3" t="s">
        <v>5</v>
      </c>
      <c r="D1276" s="4" t="s">
        <v>228</v>
      </c>
      <c r="E1276" s="5" t="s">
        <v>26</v>
      </c>
    </row>
    <row r="1277" spans="1:5" ht="30" customHeight="1">
      <c r="A1277" s="6" t="s">
        <v>2</v>
      </c>
      <c r="B1277" s="7" t="s">
        <v>239</v>
      </c>
      <c r="C1277" s="8"/>
      <c r="D1277" s="53"/>
      <c r="E1277" s="9"/>
    </row>
    <row r="1278" spans="1:5" ht="30" customHeight="1">
      <c r="A1278" s="6" t="s">
        <v>10</v>
      </c>
      <c r="B1278" s="7"/>
      <c r="C1278" s="8"/>
      <c r="D1278" s="55"/>
      <c r="E1278" s="9"/>
    </row>
    <row r="1279" spans="1:5" ht="30" customHeight="1" thickBot="1">
      <c r="A1279" s="6" t="s">
        <v>3</v>
      </c>
      <c r="B1279" s="7" t="s">
        <v>229</v>
      </c>
      <c r="C1279" s="83"/>
      <c r="D1279" s="56"/>
      <c r="E1279" s="57"/>
    </row>
    <row r="1280" spans="1:5" ht="30" customHeight="1">
      <c r="A1280" s="6" t="s">
        <v>4</v>
      </c>
      <c r="B1280" s="7" t="s">
        <v>65</v>
      </c>
      <c r="C1280" s="10" t="s">
        <v>6</v>
      </c>
      <c r="D1280" s="11">
        <v>1</v>
      </c>
      <c r="E1280" s="58"/>
    </row>
    <row r="1281" spans="1:5" ht="30" customHeight="1" thickBot="1">
      <c r="A1281" s="12" t="s">
        <v>11</v>
      </c>
      <c r="B1281" s="37" t="s">
        <v>66</v>
      </c>
      <c r="C1281" s="13" t="s">
        <v>0</v>
      </c>
      <c r="D1281" s="14">
        <f>IF(D1280&lt;0,"valor del indicador fuera de rango",IF(D1280&lt;=5,-0.2*D1280+1,"valor del indicador fuera rango"))</f>
        <v>0.8</v>
      </c>
      <c r="E1281" s="59"/>
    </row>
    <row r="1282" spans="1:5" ht="30" customHeight="1">
      <c r="A1282" s="15" t="s">
        <v>9</v>
      </c>
      <c r="B1282" s="16" t="s">
        <v>0</v>
      </c>
      <c r="C1282" s="192" t="s">
        <v>8</v>
      </c>
      <c r="D1282" s="193"/>
      <c r="E1282" s="194"/>
    </row>
    <row r="1283" spans="1:5" ht="12.95" customHeight="1">
      <c r="A1283" s="142">
        <v>0</v>
      </c>
      <c r="B1283" s="18">
        <f aca="true" t="shared" si="115" ref="B1283:B1303">-0.2*A1283+1</f>
        <v>1</v>
      </c>
      <c r="C1283" s="19"/>
      <c r="D1283" s="19"/>
      <c r="E1283" s="20"/>
    </row>
    <row r="1284" spans="1:5" ht="12.95" customHeight="1">
      <c r="A1284" s="142">
        <f>+A1283+0.25</f>
        <v>0.25</v>
      </c>
      <c r="B1284" s="18">
        <f t="shared" si="115"/>
        <v>0.95</v>
      </c>
      <c r="C1284" s="85"/>
      <c r="D1284" s="19"/>
      <c r="E1284" s="20"/>
    </row>
    <row r="1285" spans="1:5" ht="12.95" customHeight="1">
      <c r="A1285" s="142">
        <f aca="true" t="shared" si="116" ref="A1285:A1303">+A1284+0.25</f>
        <v>0.5</v>
      </c>
      <c r="B1285" s="18">
        <f t="shared" si="115"/>
        <v>0.9</v>
      </c>
      <c r="C1285" s="85"/>
      <c r="D1285" s="19"/>
      <c r="E1285" s="20"/>
    </row>
    <row r="1286" spans="1:5" ht="12.95" customHeight="1">
      <c r="A1286" s="142">
        <f t="shared" si="116"/>
        <v>0.75</v>
      </c>
      <c r="B1286" s="18">
        <f t="shared" si="115"/>
        <v>0.85</v>
      </c>
      <c r="C1286" s="85"/>
      <c r="D1286" s="19"/>
      <c r="E1286" s="20"/>
    </row>
    <row r="1287" spans="1:5" ht="12.95" customHeight="1">
      <c r="A1287" s="142">
        <f t="shared" si="116"/>
        <v>1</v>
      </c>
      <c r="B1287" s="18">
        <f t="shared" si="115"/>
        <v>0.8</v>
      </c>
      <c r="C1287" s="85"/>
      <c r="D1287" s="19"/>
      <c r="E1287" s="20"/>
    </row>
    <row r="1288" spans="1:5" ht="12.95" customHeight="1">
      <c r="A1288" s="142">
        <f t="shared" si="116"/>
        <v>1.25</v>
      </c>
      <c r="B1288" s="18">
        <f t="shared" si="115"/>
        <v>0.75</v>
      </c>
      <c r="C1288" s="85"/>
      <c r="D1288" s="19"/>
      <c r="E1288" s="20"/>
    </row>
    <row r="1289" spans="1:5" ht="12.95" customHeight="1">
      <c r="A1289" s="142">
        <f t="shared" si="116"/>
        <v>1.5</v>
      </c>
      <c r="B1289" s="18">
        <f t="shared" si="115"/>
        <v>0.7</v>
      </c>
      <c r="C1289" s="85"/>
      <c r="D1289" s="19"/>
      <c r="E1289" s="20"/>
    </row>
    <row r="1290" spans="1:5" ht="12.95" customHeight="1">
      <c r="A1290" s="142">
        <f t="shared" si="116"/>
        <v>1.75</v>
      </c>
      <c r="B1290" s="18">
        <f t="shared" si="115"/>
        <v>0.6499999999999999</v>
      </c>
      <c r="C1290" s="85"/>
      <c r="D1290" s="19"/>
      <c r="E1290" s="20"/>
    </row>
    <row r="1291" spans="1:5" ht="12.95" customHeight="1">
      <c r="A1291" s="142">
        <f t="shared" si="116"/>
        <v>2</v>
      </c>
      <c r="B1291" s="18">
        <f t="shared" si="115"/>
        <v>0.6</v>
      </c>
      <c r="C1291" s="85"/>
      <c r="D1291" s="19"/>
      <c r="E1291" s="20"/>
    </row>
    <row r="1292" spans="1:5" ht="12.95" customHeight="1">
      <c r="A1292" s="142">
        <f t="shared" si="116"/>
        <v>2.25</v>
      </c>
      <c r="B1292" s="18">
        <f t="shared" si="115"/>
        <v>0.55</v>
      </c>
      <c r="C1292" s="85"/>
      <c r="D1292" s="19"/>
      <c r="E1292" s="20"/>
    </row>
    <row r="1293" spans="1:5" ht="12.95" customHeight="1">
      <c r="A1293" s="142">
        <f t="shared" si="116"/>
        <v>2.5</v>
      </c>
      <c r="B1293" s="18">
        <f t="shared" si="115"/>
        <v>0.5</v>
      </c>
      <c r="C1293" s="85"/>
      <c r="D1293" s="19"/>
      <c r="E1293" s="20"/>
    </row>
    <row r="1294" spans="1:5" ht="12.95" customHeight="1">
      <c r="A1294" s="142">
        <f t="shared" si="116"/>
        <v>2.75</v>
      </c>
      <c r="B1294" s="18">
        <f t="shared" si="115"/>
        <v>0.44999999999999996</v>
      </c>
      <c r="C1294" s="85"/>
      <c r="D1294" s="19"/>
      <c r="E1294" s="20"/>
    </row>
    <row r="1295" spans="1:5" ht="12.95" customHeight="1">
      <c r="A1295" s="142">
        <f t="shared" si="116"/>
        <v>3</v>
      </c>
      <c r="B1295" s="18">
        <f t="shared" si="115"/>
        <v>0.3999999999999999</v>
      </c>
      <c r="C1295" s="85"/>
      <c r="D1295" s="19"/>
      <c r="E1295" s="20"/>
    </row>
    <row r="1296" spans="1:5" ht="12.95" customHeight="1">
      <c r="A1296" s="142">
        <f t="shared" si="116"/>
        <v>3.25</v>
      </c>
      <c r="B1296" s="18">
        <f t="shared" si="115"/>
        <v>0.35</v>
      </c>
      <c r="C1296" s="85"/>
      <c r="D1296" s="19"/>
      <c r="E1296" s="20"/>
    </row>
    <row r="1297" spans="1:5" ht="12.95" customHeight="1">
      <c r="A1297" s="142">
        <f t="shared" si="116"/>
        <v>3.5</v>
      </c>
      <c r="B1297" s="18">
        <f t="shared" si="115"/>
        <v>0.29999999999999993</v>
      </c>
      <c r="C1297" s="85"/>
      <c r="D1297" s="19"/>
      <c r="E1297" s="20"/>
    </row>
    <row r="1298" spans="1:5" ht="12.95" customHeight="1">
      <c r="A1298" s="142">
        <f t="shared" si="116"/>
        <v>3.75</v>
      </c>
      <c r="B1298" s="18">
        <f t="shared" si="115"/>
        <v>0.25</v>
      </c>
      <c r="C1298" s="85"/>
      <c r="D1298" s="19"/>
      <c r="E1298" s="20"/>
    </row>
    <row r="1299" spans="1:5" ht="12.95" customHeight="1">
      <c r="A1299" s="142">
        <f t="shared" si="116"/>
        <v>4</v>
      </c>
      <c r="B1299" s="18">
        <f t="shared" si="115"/>
        <v>0.19999999999999996</v>
      </c>
      <c r="C1299" s="85"/>
      <c r="D1299" s="19"/>
      <c r="E1299" s="20"/>
    </row>
    <row r="1300" spans="1:5" ht="12.95" customHeight="1">
      <c r="A1300" s="142">
        <f t="shared" si="116"/>
        <v>4.25</v>
      </c>
      <c r="B1300" s="18">
        <f t="shared" si="115"/>
        <v>0.1499999999999999</v>
      </c>
      <c r="C1300" s="85"/>
      <c r="D1300" s="19"/>
      <c r="E1300" s="20"/>
    </row>
    <row r="1301" spans="1:5" ht="12.95" customHeight="1">
      <c r="A1301" s="142">
        <f t="shared" si="116"/>
        <v>4.5</v>
      </c>
      <c r="B1301" s="18">
        <f t="shared" si="115"/>
        <v>0.09999999999999998</v>
      </c>
      <c r="C1301" s="85"/>
      <c r="D1301" s="19"/>
      <c r="E1301" s="20"/>
    </row>
    <row r="1302" spans="1:5" ht="12.95" customHeight="1">
      <c r="A1302" s="142">
        <f t="shared" si="116"/>
        <v>4.75</v>
      </c>
      <c r="B1302" s="18">
        <f t="shared" si="115"/>
        <v>0.04999999999999993</v>
      </c>
      <c r="C1302" s="85"/>
      <c r="D1302" s="19"/>
      <c r="E1302" s="20"/>
    </row>
    <row r="1303" spans="1:5" ht="12.95" customHeight="1" thickBot="1">
      <c r="A1303" s="172">
        <f t="shared" si="116"/>
        <v>5</v>
      </c>
      <c r="B1303" s="46">
        <f t="shared" si="115"/>
        <v>0</v>
      </c>
      <c r="C1303" s="92"/>
      <c r="D1303" s="24"/>
      <c r="E1303" s="25"/>
    </row>
    <row r="1304" ht="12.95" customHeight="1" thickTop="1"/>
    <row r="1305" ht="12.95" customHeight="1" thickBot="1"/>
    <row r="1306" spans="1:5" ht="30" customHeight="1" thickTop="1">
      <c r="A1306" s="1" t="s">
        <v>7</v>
      </c>
      <c r="B1306" s="2">
        <v>123</v>
      </c>
      <c r="C1306" s="3" t="s">
        <v>5</v>
      </c>
      <c r="D1306" s="4" t="s">
        <v>241</v>
      </c>
      <c r="E1306" s="5" t="s">
        <v>242</v>
      </c>
    </row>
    <row r="1307" spans="1:5" ht="30" customHeight="1">
      <c r="A1307" s="6" t="s">
        <v>2</v>
      </c>
      <c r="B1307" s="7" t="s">
        <v>240</v>
      </c>
      <c r="C1307" s="8"/>
      <c r="D1307" s="53"/>
      <c r="E1307" s="9"/>
    </row>
    <row r="1308" spans="1:5" ht="30" customHeight="1">
      <c r="A1308" s="6" t="s">
        <v>10</v>
      </c>
      <c r="B1308" s="7"/>
      <c r="C1308" s="8"/>
      <c r="D1308" s="55"/>
      <c r="E1308" s="9"/>
    </row>
    <row r="1309" spans="1:5" ht="30" customHeight="1" thickBot="1">
      <c r="A1309" s="6" t="s">
        <v>3</v>
      </c>
      <c r="B1309" s="7" t="s">
        <v>234</v>
      </c>
      <c r="C1309" s="83"/>
      <c r="D1309" s="56"/>
      <c r="E1309" s="57"/>
    </row>
    <row r="1310" spans="1:5" ht="30" customHeight="1">
      <c r="A1310" s="6" t="s">
        <v>4</v>
      </c>
      <c r="B1310" s="7" t="s">
        <v>243</v>
      </c>
      <c r="C1310" s="10" t="s">
        <v>6</v>
      </c>
      <c r="D1310" s="11">
        <v>80</v>
      </c>
      <c r="E1310" s="58"/>
    </row>
    <row r="1311" spans="1:5" ht="30" customHeight="1" thickBot="1">
      <c r="A1311" s="12" t="s">
        <v>11</v>
      </c>
      <c r="B1311" s="37" t="s">
        <v>66</v>
      </c>
      <c r="C1311" s="13" t="s">
        <v>0</v>
      </c>
      <c r="D1311" s="14">
        <f>IF(D1310&lt;0,"valor del indicador fuera de rango",IF(D1310&lt;=250,-0.004*D1310+1))</f>
        <v>0.6799999999999999</v>
      </c>
      <c r="E1311" s="59"/>
    </row>
    <row r="1312" spans="1:5" ht="30" customHeight="1">
      <c r="A1312" s="15" t="s">
        <v>9</v>
      </c>
      <c r="B1312" s="16" t="s">
        <v>0</v>
      </c>
      <c r="C1312" s="192" t="s">
        <v>8</v>
      </c>
      <c r="D1312" s="193"/>
      <c r="E1312" s="194"/>
    </row>
    <row r="1313" spans="1:5" ht="12.95" customHeight="1">
      <c r="A1313" s="175">
        <v>0</v>
      </c>
      <c r="B1313" s="18">
        <f aca="true" t="shared" si="117" ref="B1313:B1333">-0.004*A1313+1</f>
        <v>1</v>
      </c>
      <c r="C1313" s="19"/>
      <c r="D1313" s="19"/>
      <c r="E1313" s="20"/>
    </row>
    <row r="1314" spans="1:5" ht="12.95" customHeight="1">
      <c r="A1314" s="169">
        <v>10</v>
      </c>
      <c r="B1314" s="18">
        <f t="shared" si="117"/>
        <v>0.96</v>
      </c>
      <c r="C1314" s="85"/>
      <c r="D1314" s="19"/>
      <c r="E1314" s="20"/>
    </row>
    <row r="1315" spans="1:5" ht="12.95" customHeight="1">
      <c r="A1315" s="169">
        <v>20</v>
      </c>
      <c r="B1315" s="18">
        <f t="shared" si="117"/>
        <v>0.92</v>
      </c>
      <c r="C1315" s="85"/>
      <c r="D1315" s="19"/>
      <c r="E1315" s="20"/>
    </row>
    <row r="1316" spans="1:5" ht="12.95" customHeight="1">
      <c r="A1316" s="169">
        <v>30</v>
      </c>
      <c r="B1316" s="18">
        <f t="shared" si="117"/>
        <v>0.88</v>
      </c>
      <c r="C1316" s="85"/>
      <c r="D1316" s="19"/>
      <c r="E1316" s="20"/>
    </row>
    <row r="1317" spans="1:5" ht="12.95" customHeight="1">
      <c r="A1317" s="169">
        <v>40</v>
      </c>
      <c r="B1317" s="18">
        <f t="shared" si="117"/>
        <v>0.84</v>
      </c>
      <c r="C1317" s="85"/>
      <c r="D1317" s="19"/>
      <c r="E1317" s="20"/>
    </row>
    <row r="1318" spans="1:5" ht="12.95" customHeight="1">
      <c r="A1318" s="169">
        <v>50</v>
      </c>
      <c r="B1318" s="18">
        <f t="shared" si="117"/>
        <v>0.8</v>
      </c>
      <c r="C1318" s="85"/>
      <c r="D1318" s="19"/>
      <c r="E1318" s="20"/>
    </row>
    <row r="1319" spans="1:5" ht="12.95" customHeight="1">
      <c r="A1319" s="169">
        <v>60</v>
      </c>
      <c r="B1319" s="18">
        <f t="shared" si="117"/>
        <v>0.76</v>
      </c>
      <c r="C1319" s="85"/>
      <c r="D1319" s="19"/>
      <c r="E1319" s="20"/>
    </row>
    <row r="1320" spans="1:5" ht="12.95" customHeight="1">
      <c r="A1320" s="169">
        <v>70</v>
      </c>
      <c r="B1320" s="18">
        <f t="shared" si="117"/>
        <v>0.72</v>
      </c>
      <c r="C1320" s="85"/>
      <c r="D1320" s="19"/>
      <c r="E1320" s="20"/>
    </row>
    <row r="1321" spans="1:5" ht="12.95" customHeight="1">
      <c r="A1321" s="169">
        <v>80</v>
      </c>
      <c r="B1321" s="18">
        <f t="shared" si="117"/>
        <v>0.6799999999999999</v>
      </c>
      <c r="C1321" s="85"/>
      <c r="D1321" s="19"/>
      <c r="E1321" s="20"/>
    </row>
    <row r="1322" spans="1:5" ht="12.95" customHeight="1">
      <c r="A1322" s="169">
        <v>90</v>
      </c>
      <c r="B1322" s="18">
        <f t="shared" si="117"/>
        <v>0.64</v>
      </c>
      <c r="C1322" s="85"/>
      <c r="D1322" s="19"/>
      <c r="E1322" s="20"/>
    </row>
    <row r="1323" spans="1:5" ht="12.95" customHeight="1">
      <c r="A1323" s="169">
        <v>100</v>
      </c>
      <c r="B1323" s="18">
        <f t="shared" si="117"/>
        <v>0.6</v>
      </c>
      <c r="C1323" s="85"/>
      <c r="D1323" s="19"/>
      <c r="E1323" s="20"/>
    </row>
    <row r="1324" spans="1:5" ht="12.95" customHeight="1">
      <c r="A1324" s="169">
        <f aca="true" t="shared" si="118" ref="A1324:A1333">+A1323+15</f>
        <v>115</v>
      </c>
      <c r="B1324" s="18">
        <f t="shared" si="117"/>
        <v>0.54</v>
      </c>
      <c r="C1324" s="85"/>
      <c r="D1324" s="19"/>
      <c r="E1324" s="20"/>
    </row>
    <row r="1325" spans="1:5" ht="12.95" customHeight="1">
      <c r="A1325" s="169">
        <f t="shared" si="118"/>
        <v>130</v>
      </c>
      <c r="B1325" s="18">
        <f t="shared" si="117"/>
        <v>0.48</v>
      </c>
      <c r="C1325" s="85"/>
      <c r="D1325" s="19"/>
      <c r="E1325" s="20"/>
    </row>
    <row r="1326" spans="1:5" ht="12.95" customHeight="1">
      <c r="A1326" s="169">
        <f t="shared" si="118"/>
        <v>145</v>
      </c>
      <c r="B1326" s="18">
        <f t="shared" si="117"/>
        <v>0.42000000000000004</v>
      </c>
      <c r="C1326" s="85"/>
      <c r="D1326" s="19"/>
      <c r="E1326" s="20"/>
    </row>
    <row r="1327" spans="1:5" ht="12.95" customHeight="1">
      <c r="A1327" s="169">
        <f t="shared" si="118"/>
        <v>160</v>
      </c>
      <c r="B1327" s="18">
        <f t="shared" si="117"/>
        <v>0.36</v>
      </c>
      <c r="C1327" s="85"/>
      <c r="D1327" s="19"/>
      <c r="E1327" s="20"/>
    </row>
    <row r="1328" spans="1:5" ht="12.95" customHeight="1">
      <c r="A1328" s="169">
        <f t="shared" si="118"/>
        <v>175</v>
      </c>
      <c r="B1328" s="18">
        <f t="shared" si="117"/>
        <v>0.29999999999999993</v>
      </c>
      <c r="C1328" s="85"/>
      <c r="D1328" s="19"/>
      <c r="E1328" s="20"/>
    </row>
    <row r="1329" spans="1:5" ht="12.95" customHeight="1">
      <c r="A1329" s="169">
        <f t="shared" si="118"/>
        <v>190</v>
      </c>
      <c r="B1329" s="18">
        <f t="shared" si="117"/>
        <v>0.24</v>
      </c>
      <c r="C1329" s="85"/>
      <c r="D1329" s="19"/>
      <c r="E1329" s="20"/>
    </row>
    <row r="1330" spans="1:5" ht="12.95" customHeight="1">
      <c r="A1330" s="169">
        <f t="shared" si="118"/>
        <v>205</v>
      </c>
      <c r="B1330" s="18">
        <f t="shared" si="117"/>
        <v>0.17999999999999994</v>
      </c>
      <c r="C1330" s="85"/>
      <c r="D1330" s="19"/>
      <c r="E1330" s="20"/>
    </row>
    <row r="1331" spans="1:5" ht="12.95" customHeight="1">
      <c r="A1331" s="169">
        <f t="shared" si="118"/>
        <v>220</v>
      </c>
      <c r="B1331" s="18">
        <f t="shared" si="117"/>
        <v>0.12</v>
      </c>
      <c r="C1331" s="85"/>
      <c r="D1331" s="19"/>
      <c r="E1331" s="20"/>
    </row>
    <row r="1332" spans="1:5" ht="12.95" customHeight="1">
      <c r="A1332" s="169">
        <f t="shared" si="118"/>
        <v>235</v>
      </c>
      <c r="B1332" s="18">
        <f t="shared" si="117"/>
        <v>0.05999999999999994</v>
      </c>
      <c r="C1332" s="85"/>
      <c r="D1332" s="19"/>
      <c r="E1332" s="20"/>
    </row>
    <row r="1333" spans="1:5" ht="12.95" customHeight="1" thickBot="1">
      <c r="A1333" s="170">
        <f t="shared" si="118"/>
        <v>250</v>
      </c>
      <c r="B1333" s="46">
        <f t="shared" si="117"/>
        <v>0</v>
      </c>
      <c r="C1333" s="92"/>
      <c r="D1333" s="24"/>
      <c r="E1333" s="25"/>
    </row>
    <row r="1334" ht="12.95" customHeight="1" thickTop="1"/>
    <row r="1335" ht="12.95" customHeight="1" thickBot="1"/>
    <row r="1336" spans="1:5" ht="30" customHeight="1" thickTop="1">
      <c r="A1336" s="1" t="s">
        <v>7</v>
      </c>
      <c r="B1336" s="2">
        <v>124</v>
      </c>
      <c r="C1336" s="3" t="s">
        <v>5</v>
      </c>
      <c r="D1336" s="4" t="s">
        <v>245</v>
      </c>
      <c r="E1336" s="5" t="s">
        <v>246</v>
      </c>
    </row>
    <row r="1337" spans="1:5" ht="30" customHeight="1">
      <c r="A1337" s="6" t="s">
        <v>2</v>
      </c>
      <c r="B1337" s="7" t="s">
        <v>244</v>
      </c>
      <c r="C1337" s="8"/>
      <c r="D1337" s="53"/>
      <c r="E1337" s="9"/>
    </row>
    <row r="1338" spans="1:5" ht="30" customHeight="1">
      <c r="A1338" s="6" t="s">
        <v>10</v>
      </c>
      <c r="B1338" s="7"/>
      <c r="C1338" s="8"/>
      <c r="D1338" s="55"/>
      <c r="E1338" s="9"/>
    </row>
    <row r="1339" spans="1:5" ht="30" customHeight="1" thickBot="1">
      <c r="A1339" s="6" t="s">
        <v>3</v>
      </c>
      <c r="B1339" s="7" t="s">
        <v>234</v>
      </c>
      <c r="C1339" s="83"/>
      <c r="D1339" s="56"/>
      <c r="E1339" s="57"/>
    </row>
    <row r="1340" spans="1:5" ht="30" customHeight="1">
      <c r="A1340" s="6" t="s">
        <v>4</v>
      </c>
      <c r="B1340" s="7" t="s">
        <v>72</v>
      </c>
      <c r="C1340" s="10" t="s">
        <v>6</v>
      </c>
      <c r="D1340" s="11">
        <v>100</v>
      </c>
      <c r="E1340" s="58"/>
    </row>
    <row r="1341" spans="1:5" ht="30" customHeight="1" thickBot="1">
      <c r="A1341" s="12" t="s">
        <v>11</v>
      </c>
      <c r="B1341" s="37" t="s">
        <v>66</v>
      </c>
      <c r="C1341" s="13" t="s">
        <v>0</v>
      </c>
      <c r="D1341" s="14">
        <f>IF(D1340&lt;0,"valor del indicador fuera de rango",IF(D1340&lt;=200,-0.005*D1340+1))</f>
        <v>0.5</v>
      </c>
      <c r="E1341" s="59"/>
    </row>
    <row r="1342" spans="1:5" ht="30" customHeight="1">
      <c r="A1342" s="15" t="s">
        <v>9</v>
      </c>
      <c r="B1342" s="16" t="s">
        <v>0</v>
      </c>
      <c r="C1342" s="192" t="s">
        <v>8</v>
      </c>
      <c r="D1342" s="193"/>
      <c r="E1342" s="194"/>
    </row>
    <row r="1343" spans="1:5" ht="12.95" customHeight="1">
      <c r="A1343" s="175">
        <v>0</v>
      </c>
      <c r="B1343" s="18">
        <f aca="true" t="shared" si="119" ref="B1343:B1363">-0.005*A1343+1</f>
        <v>1</v>
      </c>
      <c r="C1343" s="19"/>
      <c r="D1343" s="19"/>
      <c r="E1343" s="20"/>
    </row>
    <row r="1344" spans="1:5" ht="12.95" customHeight="1">
      <c r="A1344" s="169">
        <v>10</v>
      </c>
      <c r="B1344" s="18">
        <f t="shared" si="119"/>
        <v>0.95</v>
      </c>
      <c r="C1344" s="85"/>
      <c r="D1344" s="19"/>
      <c r="E1344" s="20"/>
    </row>
    <row r="1345" spans="1:5" ht="12.95" customHeight="1">
      <c r="A1345" s="169">
        <v>20</v>
      </c>
      <c r="B1345" s="18">
        <f t="shared" si="119"/>
        <v>0.9</v>
      </c>
      <c r="C1345" s="85"/>
      <c r="D1345" s="19"/>
      <c r="E1345" s="20"/>
    </row>
    <row r="1346" spans="1:5" ht="12.95" customHeight="1">
      <c r="A1346" s="169">
        <v>30</v>
      </c>
      <c r="B1346" s="18">
        <f t="shared" si="119"/>
        <v>0.85</v>
      </c>
      <c r="C1346" s="85"/>
      <c r="D1346" s="19"/>
      <c r="E1346" s="20"/>
    </row>
    <row r="1347" spans="1:5" ht="12.95" customHeight="1">
      <c r="A1347" s="169">
        <v>40</v>
      </c>
      <c r="B1347" s="18">
        <f t="shared" si="119"/>
        <v>0.8</v>
      </c>
      <c r="C1347" s="85"/>
      <c r="D1347" s="19"/>
      <c r="E1347" s="20"/>
    </row>
    <row r="1348" spans="1:5" ht="12.95" customHeight="1">
      <c r="A1348" s="169">
        <v>50</v>
      </c>
      <c r="B1348" s="18">
        <f t="shared" si="119"/>
        <v>0.75</v>
      </c>
      <c r="C1348" s="85"/>
      <c r="D1348" s="19"/>
      <c r="E1348" s="20"/>
    </row>
    <row r="1349" spans="1:5" ht="12.95" customHeight="1">
      <c r="A1349" s="169">
        <v>60</v>
      </c>
      <c r="B1349" s="18">
        <f t="shared" si="119"/>
        <v>0.7</v>
      </c>
      <c r="C1349" s="85"/>
      <c r="D1349" s="19"/>
      <c r="E1349" s="20"/>
    </row>
    <row r="1350" spans="1:5" ht="12.95" customHeight="1">
      <c r="A1350" s="169">
        <v>70</v>
      </c>
      <c r="B1350" s="18">
        <f t="shared" si="119"/>
        <v>0.6499999999999999</v>
      </c>
      <c r="C1350" s="85"/>
      <c r="D1350" s="19"/>
      <c r="E1350" s="20"/>
    </row>
    <row r="1351" spans="1:5" ht="12.95" customHeight="1">
      <c r="A1351" s="169">
        <v>80</v>
      </c>
      <c r="B1351" s="18">
        <f t="shared" si="119"/>
        <v>0.6</v>
      </c>
      <c r="C1351" s="85"/>
      <c r="D1351" s="19"/>
      <c r="E1351" s="20"/>
    </row>
    <row r="1352" spans="1:5" ht="12.95" customHeight="1">
      <c r="A1352" s="169">
        <v>90</v>
      </c>
      <c r="B1352" s="18">
        <f t="shared" si="119"/>
        <v>0.55</v>
      </c>
      <c r="C1352" s="85"/>
      <c r="D1352" s="19"/>
      <c r="E1352" s="20"/>
    </row>
    <row r="1353" spans="1:5" ht="12.95" customHeight="1">
      <c r="A1353" s="169">
        <v>100</v>
      </c>
      <c r="B1353" s="18">
        <f t="shared" si="119"/>
        <v>0.5</v>
      </c>
      <c r="C1353" s="85"/>
      <c r="D1353" s="19"/>
      <c r="E1353" s="20"/>
    </row>
    <row r="1354" spans="1:5" ht="12.95" customHeight="1">
      <c r="A1354" s="169">
        <v>110</v>
      </c>
      <c r="B1354" s="18">
        <f t="shared" si="119"/>
        <v>0.44999999999999996</v>
      </c>
      <c r="C1354" s="85"/>
      <c r="D1354" s="19"/>
      <c r="E1354" s="20"/>
    </row>
    <row r="1355" spans="1:5" ht="12.95" customHeight="1">
      <c r="A1355" s="169">
        <v>120</v>
      </c>
      <c r="B1355" s="18">
        <f t="shared" si="119"/>
        <v>0.4</v>
      </c>
      <c r="C1355" s="85"/>
      <c r="D1355" s="19"/>
      <c r="E1355" s="20"/>
    </row>
    <row r="1356" spans="1:5" ht="12.95" customHeight="1">
      <c r="A1356" s="169">
        <v>130</v>
      </c>
      <c r="B1356" s="18">
        <f t="shared" si="119"/>
        <v>0.35</v>
      </c>
      <c r="C1356" s="85"/>
      <c r="D1356" s="19"/>
      <c r="E1356" s="20"/>
    </row>
    <row r="1357" spans="1:5" ht="12.95" customHeight="1">
      <c r="A1357" s="169">
        <v>140</v>
      </c>
      <c r="B1357" s="18">
        <f t="shared" si="119"/>
        <v>0.29999999999999993</v>
      </c>
      <c r="C1357" s="85"/>
      <c r="D1357" s="19"/>
      <c r="E1357" s="20"/>
    </row>
    <row r="1358" spans="1:5" ht="12.95" customHeight="1">
      <c r="A1358" s="169">
        <v>150</v>
      </c>
      <c r="B1358" s="18">
        <f t="shared" si="119"/>
        <v>0.25</v>
      </c>
      <c r="C1358" s="85"/>
      <c r="D1358" s="19"/>
      <c r="E1358" s="20"/>
    </row>
    <row r="1359" spans="1:5" ht="12.95" customHeight="1">
      <c r="A1359" s="169">
        <v>160</v>
      </c>
      <c r="B1359" s="18">
        <f t="shared" si="119"/>
        <v>0.19999999999999996</v>
      </c>
      <c r="C1359" s="85"/>
      <c r="D1359" s="19"/>
      <c r="E1359" s="20"/>
    </row>
    <row r="1360" spans="1:5" ht="12.95" customHeight="1">
      <c r="A1360" s="169">
        <v>170</v>
      </c>
      <c r="B1360" s="18">
        <f t="shared" si="119"/>
        <v>0.15000000000000002</v>
      </c>
      <c r="C1360" s="85"/>
      <c r="D1360" s="19"/>
      <c r="E1360" s="20"/>
    </row>
    <row r="1361" spans="1:5" ht="12.95" customHeight="1">
      <c r="A1361" s="169">
        <v>180</v>
      </c>
      <c r="B1361" s="18">
        <f t="shared" si="119"/>
        <v>0.09999999999999998</v>
      </c>
      <c r="C1361" s="85"/>
      <c r="D1361" s="19"/>
      <c r="E1361" s="20"/>
    </row>
    <row r="1362" spans="1:5" ht="12.95" customHeight="1">
      <c r="A1362" s="169">
        <v>190</v>
      </c>
      <c r="B1362" s="18">
        <f t="shared" si="119"/>
        <v>0.04999999999999993</v>
      </c>
      <c r="C1362" s="85"/>
      <c r="D1362" s="19"/>
      <c r="E1362" s="20"/>
    </row>
    <row r="1363" spans="1:5" ht="12.95" customHeight="1" thickBot="1">
      <c r="A1363" s="170">
        <v>200</v>
      </c>
      <c r="B1363" s="46">
        <f t="shared" si="119"/>
        <v>0</v>
      </c>
      <c r="C1363" s="92"/>
      <c r="D1363" s="24"/>
      <c r="E1363" s="25"/>
    </row>
    <row r="1364" ht="12.95" customHeight="1" thickTop="1"/>
    <row r="1365" ht="12.75" customHeight="1" thickBot="1"/>
    <row r="1366" spans="1:5" ht="30" customHeight="1" thickTop="1">
      <c r="A1366" s="1" t="s">
        <v>7</v>
      </c>
      <c r="B1366" s="2">
        <v>125</v>
      </c>
      <c r="C1366" s="3" t="s">
        <v>5</v>
      </c>
      <c r="D1366" s="4" t="s">
        <v>248</v>
      </c>
      <c r="E1366" s="5" t="s">
        <v>249</v>
      </c>
    </row>
    <row r="1367" spans="1:5" ht="30" customHeight="1">
      <c r="A1367" s="6" t="s">
        <v>2</v>
      </c>
      <c r="B1367" s="7" t="s">
        <v>247</v>
      </c>
      <c r="C1367" s="8"/>
      <c r="D1367" s="53" t="s">
        <v>250</v>
      </c>
      <c r="E1367" s="9" t="s">
        <v>251</v>
      </c>
    </row>
    <row r="1368" spans="1:5" ht="30" customHeight="1">
      <c r="A1368" s="6" t="s">
        <v>10</v>
      </c>
      <c r="B1368" s="7"/>
      <c r="C1368" s="8"/>
      <c r="D1368" s="55" t="s">
        <v>252</v>
      </c>
      <c r="E1368" s="9" t="s">
        <v>253</v>
      </c>
    </row>
    <row r="1369" spans="1:5" ht="30" customHeight="1" thickBot="1">
      <c r="A1369" s="6" t="s">
        <v>3</v>
      </c>
      <c r="B1369" s="7" t="s">
        <v>254</v>
      </c>
      <c r="C1369" s="83"/>
      <c r="D1369" s="56"/>
      <c r="E1369" s="57"/>
    </row>
    <row r="1370" spans="1:5" ht="30" customHeight="1">
      <c r="A1370" s="6" t="s">
        <v>4</v>
      </c>
      <c r="B1370" s="7" t="s">
        <v>147</v>
      </c>
      <c r="C1370" s="10" t="s">
        <v>6</v>
      </c>
      <c r="D1370" s="11">
        <v>0.4</v>
      </c>
      <c r="E1370" s="58"/>
    </row>
    <row r="1371" spans="1:5" ht="30" customHeight="1" thickBot="1">
      <c r="A1371" s="12" t="s">
        <v>11</v>
      </c>
      <c r="B1371" s="37" t="s">
        <v>272</v>
      </c>
      <c r="C1371" s="13" t="s">
        <v>0</v>
      </c>
      <c r="D1371" s="14">
        <f>IF(D1370&lt;0,"valor del indicador fuera de rango",IF(D1370&lt;=0.15,-2.33*D1370+1,IF(D1370&lt;=0.35,-1.75*D1370+0.913,IF(D1370&lt;=0.5,-2*D1370+1))))</f>
        <v>0.19999999999999996</v>
      </c>
      <c r="E1371" s="59"/>
    </row>
    <row r="1372" spans="1:5" ht="30" customHeight="1">
      <c r="A1372" s="15" t="s">
        <v>9</v>
      </c>
      <c r="B1372" s="16" t="s">
        <v>0</v>
      </c>
      <c r="C1372" s="192" t="s">
        <v>8</v>
      </c>
      <c r="D1372" s="193"/>
      <c r="E1372" s="194"/>
    </row>
    <row r="1373" spans="1:5" ht="12.95" customHeight="1">
      <c r="A1373" s="142">
        <v>0</v>
      </c>
      <c r="B1373" s="159">
        <f aca="true" t="shared" si="120" ref="B1373:B1379">-2.33*A1373+1</f>
        <v>1</v>
      </c>
      <c r="C1373" s="19"/>
      <c r="D1373" s="19"/>
      <c r="E1373" s="20"/>
    </row>
    <row r="1374" spans="1:5" ht="12.95" customHeight="1">
      <c r="A1374" s="142">
        <f>+A1373+0.025</f>
        <v>0.025</v>
      </c>
      <c r="B1374" s="160">
        <f t="shared" si="120"/>
        <v>0.94175</v>
      </c>
      <c r="C1374" s="85"/>
      <c r="D1374" s="19"/>
      <c r="E1374" s="20"/>
    </row>
    <row r="1375" spans="1:5" ht="12.95" customHeight="1">
      <c r="A1375" s="142">
        <f aca="true" t="shared" si="121" ref="A1375:A1390">+A1374+0.025</f>
        <v>0.05</v>
      </c>
      <c r="B1375" s="160">
        <f t="shared" si="120"/>
        <v>0.8835</v>
      </c>
      <c r="C1375" s="85"/>
      <c r="D1375" s="19"/>
      <c r="E1375" s="20"/>
    </row>
    <row r="1376" spans="1:5" ht="12.95" customHeight="1">
      <c r="A1376" s="142">
        <f t="shared" si="121"/>
        <v>0.07500000000000001</v>
      </c>
      <c r="B1376" s="160">
        <f t="shared" si="120"/>
        <v>0.8252499999999999</v>
      </c>
      <c r="C1376" s="85"/>
      <c r="D1376" s="19"/>
      <c r="E1376" s="20"/>
    </row>
    <row r="1377" spans="1:5" ht="12.95" customHeight="1">
      <c r="A1377" s="142">
        <f t="shared" si="121"/>
        <v>0.1</v>
      </c>
      <c r="B1377" s="160">
        <f t="shared" si="120"/>
        <v>0.767</v>
      </c>
      <c r="C1377" s="85"/>
      <c r="D1377" s="19"/>
      <c r="E1377" s="20"/>
    </row>
    <row r="1378" spans="1:5" ht="12.95" customHeight="1">
      <c r="A1378" s="142">
        <f t="shared" si="121"/>
        <v>0.125</v>
      </c>
      <c r="B1378" s="160">
        <f t="shared" si="120"/>
        <v>0.70875</v>
      </c>
      <c r="C1378" s="85"/>
      <c r="D1378" s="19"/>
      <c r="E1378" s="20"/>
    </row>
    <row r="1379" spans="1:5" ht="12.95" customHeight="1">
      <c r="A1379" s="142">
        <f t="shared" si="121"/>
        <v>0.15</v>
      </c>
      <c r="B1379" s="160">
        <f t="shared" si="120"/>
        <v>0.6505000000000001</v>
      </c>
      <c r="C1379" s="85"/>
      <c r="D1379" s="19"/>
      <c r="E1379" s="20"/>
    </row>
    <row r="1380" spans="1:5" ht="12.95" customHeight="1">
      <c r="A1380" s="143">
        <f t="shared" si="121"/>
        <v>0.175</v>
      </c>
      <c r="B1380" s="180">
        <f aca="true" t="shared" si="122" ref="B1380:B1387">-1.75*A1380+0.913</f>
        <v>0.6067500000000001</v>
      </c>
      <c r="C1380" s="85"/>
      <c r="D1380" s="19"/>
      <c r="E1380" s="20"/>
    </row>
    <row r="1381" spans="1:5" ht="12.95" customHeight="1">
      <c r="A1381" s="143">
        <f t="shared" si="121"/>
        <v>0.19999999999999998</v>
      </c>
      <c r="B1381" s="180">
        <f t="shared" si="122"/>
        <v>0.5630000000000001</v>
      </c>
      <c r="C1381" s="85"/>
      <c r="D1381" s="19"/>
      <c r="E1381" s="20"/>
    </row>
    <row r="1382" spans="1:5" ht="12.95" customHeight="1">
      <c r="A1382" s="143">
        <f t="shared" si="121"/>
        <v>0.22499999999999998</v>
      </c>
      <c r="B1382" s="180">
        <f t="shared" si="122"/>
        <v>0.5192500000000001</v>
      </c>
      <c r="C1382" s="85"/>
      <c r="D1382" s="19"/>
      <c r="E1382" s="20"/>
    </row>
    <row r="1383" spans="1:5" ht="12.95" customHeight="1">
      <c r="A1383" s="143">
        <f t="shared" si="121"/>
        <v>0.24999999999999997</v>
      </c>
      <c r="B1383" s="180">
        <f t="shared" si="122"/>
        <v>0.4755000000000001</v>
      </c>
      <c r="C1383" s="85"/>
      <c r="D1383" s="19"/>
      <c r="E1383" s="20"/>
    </row>
    <row r="1384" spans="1:5" ht="12.95" customHeight="1">
      <c r="A1384" s="143">
        <f t="shared" si="121"/>
        <v>0.27499999999999997</v>
      </c>
      <c r="B1384" s="180">
        <f t="shared" si="122"/>
        <v>0.4317500000000001</v>
      </c>
      <c r="C1384" s="85"/>
      <c r="D1384" s="19"/>
      <c r="E1384" s="20"/>
    </row>
    <row r="1385" spans="1:5" ht="12.95" customHeight="1">
      <c r="A1385" s="143">
        <f t="shared" si="121"/>
        <v>0.3</v>
      </c>
      <c r="B1385" s="180">
        <f t="shared" si="122"/>
        <v>0.388</v>
      </c>
      <c r="C1385" s="85"/>
      <c r="D1385" s="19"/>
      <c r="E1385" s="20"/>
    </row>
    <row r="1386" spans="1:5" ht="12.95" customHeight="1">
      <c r="A1386" s="143">
        <f t="shared" si="121"/>
        <v>0.325</v>
      </c>
      <c r="B1386" s="180">
        <f t="shared" si="122"/>
        <v>0.34425000000000006</v>
      </c>
      <c r="C1386" s="85"/>
      <c r="D1386" s="19"/>
      <c r="E1386" s="20"/>
    </row>
    <row r="1387" spans="1:5" ht="12.95" customHeight="1">
      <c r="A1387" s="143">
        <f t="shared" si="121"/>
        <v>0.35000000000000003</v>
      </c>
      <c r="B1387" s="180">
        <f t="shared" si="122"/>
        <v>0.3005</v>
      </c>
      <c r="C1387" s="85"/>
      <c r="D1387" s="19"/>
      <c r="E1387" s="20"/>
    </row>
    <row r="1388" spans="1:5" ht="12.95" customHeight="1">
      <c r="A1388" s="144">
        <f>+A1387+0.025</f>
        <v>0.37500000000000006</v>
      </c>
      <c r="B1388" s="181">
        <f aca="true" t="shared" si="123" ref="B1388:B1393">-2*A1388+1</f>
        <v>0.2499999999999999</v>
      </c>
      <c r="C1388" s="85"/>
      <c r="D1388" s="19"/>
      <c r="E1388" s="20"/>
    </row>
    <row r="1389" spans="1:5" ht="12.95" customHeight="1">
      <c r="A1389" s="144">
        <f t="shared" si="121"/>
        <v>0.4000000000000001</v>
      </c>
      <c r="B1389" s="181">
        <f t="shared" si="123"/>
        <v>0.19999999999999984</v>
      </c>
      <c r="C1389" s="85"/>
      <c r="D1389" s="19"/>
      <c r="E1389" s="20"/>
    </row>
    <row r="1390" spans="1:5" ht="12.95" customHeight="1">
      <c r="A1390" s="144">
        <f t="shared" si="121"/>
        <v>0.4250000000000001</v>
      </c>
      <c r="B1390" s="181">
        <f t="shared" si="123"/>
        <v>0.1499999999999998</v>
      </c>
      <c r="C1390" s="85"/>
      <c r="D1390" s="19"/>
      <c r="E1390" s="20"/>
    </row>
    <row r="1391" spans="1:5" ht="12.95" customHeight="1">
      <c r="A1391" s="144">
        <f>+A1390+0.025</f>
        <v>0.4500000000000001</v>
      </c>
      <c r="B1391" s="181">
        <f t="shared" si="123"/>
        <v>0.09999999999999976</v>
      </c>
      <c r="C1391" s="85"/>
      <c r="D1391" s="19"/>
      <c r="E1391" s="20"/>
    </row>
    <row r="1392" spans="1:5" ht="12.95" customHeight="1">
      <c r="A1392" s="144">
        <f>+A1391+0.025</f>
        <v>0.47500000000000014</v>
      </c>
      <c r="B1392" s="181">
        <f t="shared" si="123"/>
        <v>0.04999999999999971</v>
      </c>
      <c r="C1392" s="85"/>
      <c r="D1392" s="19"/>
      <c r="E1392" s="20"/>
    </row>
    <row r="1393" spans="1:5" ht="12.95" customHeight="1" thickBot="1">
      <c r="A1393" s="145">
        <f>+A1392+0.025</f>
        <v>0.5000000000000001</v>
      </c>
      <c r="B1393" s="182">
        <f t="shared" si="123"/>
        <v>0</v>
      </c>
      <c r="C1393" s="85"/>
      <c r="D1393" s="19"/>
      <c r="E1393" s="20"/>
    </row>
    <row r="1394" spans="1:5" ht="12.95" customHeight="1" thickTop="1">
      <c r="A1394" s="183"/>
      <c r="B1394" s="179"/>
      <c r="C1394" s="176"/>
      <c r="D1394" s="177"/>
      <c r="E1394" s="178"/>
    </row>
    <row r="1395" spans="1:5" ht="12.95" customHeight="1">
      <c r="A1395" s="183"/>
      <c r="B1395" s="179"/>
      <c r="C1395" s="176"/>
      <c r="D1395" s="177"/>
      <c r="E1395" s="178"/>
    </row>
    <row r="1396" spans="1:5" ht="12.95" customHeight="1">
      <c r="A1396" s="183"/>
      <c r="B1396" s="179"/>
      <c r="C1396" s="176"/>
      <c r="D1396" s="177"/>
      <c r="E1396" s="178"/>
    </row>
    <row r="1397" spans="1:5" ht="12.95" customHeight="1">
      <c r="A1397" s="183"/>
      <c r="B1397" s="179"/>
      <c r="C1397" s="176"/>
      <c r="D1397" s="177"/>
      <c r="E1397" s="178"/>
    </row>
    <row r="1398" spans="1:5" ht="12.95" customHeight="1">
      <c r="A1398" s="78"/>
      <c r="B1398" s="63"/>
      <c r="C1398" s="176"/>
      <c r="D1398" s="177"/>
      <c r="E1398" s="178"/>
    </row>
    <row r="1399" spans="1:5" ht="12.95" customHeight="1">
      <c r="A1399" s="78"/>
      <c r="B1399" s="63"/>
      <c r="C1399" s="63"/>
      <c r="D1399" s="63"/>
      <c r="E1399" s="184"/>
    </row>
    <row r="1400" spans="1:5" ht="12.95" customHeight="1">
      <c r="A1400" s="78"/>
      <c r="B1400" s="63"/>
      <c r="C1400" s="63"/>
      <c r="D1400" s="63"/>
      <c r="E1400" s="184"/>
    </row>
    <row r="1401" spans="1:5" ht="12.95" customHeight="1" thickBot="1">
      <c r="A1401" s="79"/>
      <c r="B1401" s="80"/>
      <c r="C1401" s="80"/>
      <c r="D1401" s="80"/>
      <c r="E1401" s="185"/>
    </row>
    <row r="1402" ht="12.95" customHeight="1" thickTop="1"/>
  </sheetData>
  <mergeCells count="44">
    <mergeCell ref="C1342:E1342"/>
    <mergeCell ref="C1372:E1372"/>
    <mergeCell ref="C1222:E1222"/>
    <mergeCell ref="C1252:E1252"/>
    <mergeCell ref="C1282:E1282"/>
    <mergeCell ref="C1312:E1312"/>
    <mergeCell ref="C169:E169"/>
    <mergeCell ref="C208:E208"/>
    <mergeCell ref="C247:E247"/>
    <mergeCell ref="C286:E286"/>
    <mergeCell ref="C7:E7"/>
    <mergeCell ref="C56:E56"/>
    <mergeCell ref="C89:E89"/>
    <mergeCell ref="C121:E121"/>
    <mergeCell ref="C442:E442"/>
    <mergeCell ref="C472:E472"/>
    <mergeCell ref="C502:E502"/>
    <mergeCell ref="C532:E532"/>
    <mergeCell ref="C322:E322"/>
    <mergeCell ref="C352:E352"/>
    <mergeCell ref="C382:E382"/>
    <mergeCell ref="C412:E412"/>
    <mergeCell ref="C682:E682"/>
    <mergeCell ref="C712:E712"/>
    <mergeCell ref="C742:E742"/>
    <mergeCell ref="C772:E772"/>
    <mergeCell ref="C562:E562"/>
    <mergeCell ref="C592:E592"/>
    <mergeCell ref="C622:E622"/>
    <mergeCell ref="C652:E652"/>
    <mergeCell ref="C922:E922"/>
    <mergeCell ref="C952:E952"/>
    <mergeCell ref="C982:E982"/>
    <mergeCell ref="C1012:E1012"/>
    <mergeCell ref="C802:E802"/>
    <mergeCell ref="C832:E832"/>
    <mergeCell ref="C862:E862"/>
    <mergeCell ref="C892:E892"/>
    <mergeCell ref="C1162:E1162"/>
    <mergeCell ref="C1192:E1192"/>
    <mergeCell ref="C1042:E1042"/>
    <mergeCell ref="C1072:E1072"/>
    <mergeCell ref="C1102:E1102"/>
    <mergeCell ref="C1132:E1132"/>
  </mergeCells>
  <printOptions/>
  <pageMargins left="0.75" right="0.75" top="1" bottom="1"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E67"/>
  <sheetViews>
    <sheetView zoomScale="75" zoomScaleNormal="75" workbookViewId="0" topLeftCell="A16">
      <selection activeCell="G38" sqref="G38"/>
    </sheetView>
  </sheetViews>
  <sheetFormatPr defaultColWidth="22.83203125" defaultRowHeight="12.75" customHeight="1"/>
  <cols>
    <col min="1" max="1" width="25.83203125" style="0" customWidth="1"/>
    <col min="2" max="2" width="40.83203125" style="0" customWidth="1"/>
  </cols>
  <sheetData>
    <row r="1" spans="1:5" ht="30" customHeight="1" thickTop="1">
      <c r="A1" s="1" t="s">
        <v>7</v>
      </c>
      <c r="B1" s="2">
        <v>126</v>
      </c>
      <c r="C1" s="3" t="s">
        <v>5</v>
      </c>
      <c r="D1" s="4" t="s">
        <v>255</v>
      </c>
      <c r="E1" s="5" t="s">
        <v>256</v>
      </c>
    </row>
    <row r="2" spans="1:5" ht="30" customHeight="1">
      <c r="A2" s="6" t="s">
        <v>2</v>
      </c>
      <c r="B2" s="7" t="s">
        <v>261</v>
      </c>
      <c r="C2" s="8"/>
      <c r="D2" s="53" t="s">
        <v>257</v>
      </c>
      <c r="E2" s="9" t="s">
        <v>258</v>
      </c>
    </row>
    <row r="3" spans="1:5" ht="30" customHeight="1">
      <c r="A3" s="6" t="s">
        <v>10</v>
      </c>
      <c r="B3" s="7" t="s">
        <v>264</v>
      </c>
      <c r="C3" s="8"/>
      <c r="D3" s="55" t="s">
        <v>259</v>
      </c>
      <c r="E3" s="9" t="s">
        <v>260</v>
      </c>
    </row>
    <row r="4" spans="1:5" ht="30" customHeight="1" thickBot="1">
      <c r="A4" s="6" t="s">
        <v>3</v>
      </c>
      <c r="B4" s="7" t="s">
        <v>262</v>
      </c>
      <c r="C4" s="83"/>
      <c r="D4" s="56"/>
      <c r="E4" s="57"/>
    </row>
    <row r="5" spans="1:5" ht="30" customHeight="1">
      <c r="A5" s="6" t="s">
        <v>4</v>
      </c>
      <c r="B5" s="136" t="s">
        <v>263</v>
      </c>
      <c r="C5" s="10" t="s">
        <v>6</v>
      </c>
      <c r="D5" s="11">
        <v>6</v>
      </c>
      <c r="E5" s="58"/>
    </row>
    <row r="6" spans="1:5" ht="30" customHeight="1" thickBot="1">
      <c r="A6" s="12" t="s">
        <v>11</v>
      </c>
      <c r="B6" s="37" t="s">
        <v>66</v>
      </c>
      <c r="C6" s="13" t="s">
        <v>0</v>
      </c>
      <c r="D6" s="14">
        <f>IF(D5&lt;-12,"valor del indicador fuera de rango",IF(D5&lt;=-5,0.0122*(D5^2)+(0.2931*D5)+1.76,IF(D5&lt;=5,-0.0232*(D5^2)-(0.04*D5)+0.98,IF(D5&lt;=10,0.008*(D5^2)-(0.16*D5)+(0.8),"valor del indicador fuera rango"))))</f>
        <v>0.1280000000000001</v>
      </c>
      <c r="E6" s="59"/>
    </row>
    <row r="7" spans="1:5" ht="30" customHeight="1">
      <c r="A7" s="15" t="s">
        <v>9</v>
      </c>
      <c r="B7" s="16" t="s">
        <v>0</v>
      </c>
      <c r="C7" s="189" t="s">
        <v>8</v>
      </c>
      <c r="D7" s="190"/>
      <c r="E7" s="191"/>
    </row>
    <row r="8" spans="1:5" ht="12.95" customHeight="1">
      <c r="A8" s="17">
        <v>-12</v>
      </c>
      <c r="B8" s="18">
        <f>0.0122*(A8^2)+0.2931*A8+1.76</f>
        <v>-0.000400000000000178</v>
      </c>
      <c r="C8" s="40"/>
      <c r="D8" s="40"/>
      <c r="E8" s="41"/>
    </row>
    <row r="9" spans="1:5" ht="12.95" customHeight="1">
      <c r="A9" s="21">
        <v>-11</v>
      </c>
      <c r="B9" s="18">
        <f aca="true" t="shared" si="0" ref="B9:B15">0.0122*(A9^2)+0.2931*A9+1.76</f>
        <v>0.012099999999999778</v>
      </c>
      <c r="C9" s="42"/>
      <c r="D9" s="40"/>
      <c r="E9" s="41"/>
    </row>
    <row r="10" spans="1:5" ht="12.95" customHeight="1">
      <c r="A10" s="21">
        <v>-10</v>
      </c>
      <c r="B10" s="18">
        <f t="shared" si="0"/>
        <v>0.04899999999999993</v>
      </c>
      <c r="C10" s="42"/>
      <c r="D10" s="40"/>
      <c r="E10" s="41"/>
    </row>
    <row r="11" spans="1:5" ht="12.95" customHeight="1">
      <c r="A11" s="17">
        <v>-9</v>
      </c>
      <c r="B11" s="18">
        <f t="shared" si="0"/>
        <v>0.11029999999999984</v>
      </c>
      <c r="C11" s="42"/>
      <c r="D11" s="40"/>
      <c r="E11" s="41"/>
    </row>
    <row r="12" spans="1:5" ht="12.95" customHeight="1">
      <c r="A12" s="21">
        <v>-8</v>
      </c>
      <c r="B12" s="18">
        <f t="shared" si="0"/>
        <v>0.19599999999999995</v>
      </c>
      <c r="C12" s="42"/>
      <c r="D12" s="40"/>
      <c r="E12" s="41"/>
    </row>
    <row r="13" spans="1:5" ht="12.95" customHeight="1">
      <c r="A13" s="21">
        <v>-7</v>
      </c>
      <c r="B13" s="18">
        <f t="shared" si="0"/>
        <v>0.3060999999999996</v>
      </c>
      <c r="C13" s="42"/>
      <c r="D13" s="40"/>
      <c r="E13" s="41"/>
    </row>
    <row r="14" spans="1:5" ht="12.95" customHeight="1">
      <c r="A14" s="17">
        <v>-6</v>
      </c>
      <c r="B14" s="18">
        <f t="shared" si="0"/>
        <v>0.4405999999999999</v>
      </c>
      <c r="C14" s="42"/>
      <c r="D14" s="40"/>
      <c r="E14" s="41"/>
    </row>
    <row r="15" spans="1:5" ht="12.95" customHeight="1">
      <c r="A15" s="21">
        <v>-5</v>
      </c>
      <c r="B15" s="18">
        <f t="shared" si="0"/>
        <v>0.5994999999999999</v>
      </c>
      <c r="C15" s="42"/>
      <c r="D15" s="40"/>
      <c r="E15" s="41"/>
    </row>
    <row r="16" spans="1:5" ht="12.95" customHeight="1">
      <c r="A16" s="60">
        <v>-5</v>
      </c>
      <c r="B16" s="54">
        <f aca="true" t="shared" si="1" ref="B16:B25">-0.0232*A16^2-0.04*A16+0.98</f>
        <v>0.6000000000000001</v>
      </c>
      <c r="C16" s="42"/>
      <c r="D16" s="40"/>
      <c r="E16" s="41"/>
    </row>
    <row r="17" spans="1:5" ht="12.95" customHeight="1">
      <c r="A17" s="60">
        <f aca="true" t="shared" si="2" ref="A17:A24">+A16+1</f>
        <v>-4</v>
      </c>
      <c r="B17" s="54">
        <f t="shared" si="1"/>
        <v>0.7688</v>
      </c>
      <c r="C17" s="42"/>
      <c r="D17" s="40"/>
      <c r="E17" s="41"/>
    </row>
    <row r="18" spans="1:5" ht="12.95" customHeight="1">
      <c r="A18" s="60">
        <f t="shared" si="2"/>
        <v>-3</v>
      </c>
      <c r="B18" s="54">
        <f t="shared" si="1"/>
        <v>0.8912</v>
      </c>
      <c r="C18" s="42"/>
      <c r="D18" s="40"/>
      <c r="E18" s="41"/>
    </row>
    <row r="19" spans="1:5" ht="12.95" customHeight="1">
      <c r="A19" s="60">
        <f t="shared" si="2"/>
        <v>-2</v>
      </c>
      <c r="B19" s="54">
        <f t="shared" si="1"/>
        <v>0.9672</v>
      </c>
      <c r="C19" s="42"/>
      <c r="D19" s="40"/>
      <c r="E19" s="41"/>
    </row>
    <row r="20" spans="1:5" ht="12.95" customHeight="1">
      <c r="A20" s="60">
        <f t="shared" si="2"/>
        <v>-1</v>
      </c>
      <c r="B20" s="54">
        <f t="shared" si="1"/>
        <v>0.9968</v>
      </c>
      <c r="C20" s="42"/>
      <c r="D20" s="40"/>
      <c r="E20" s="41"/>
    </row>
    <row r="21" spans="1:5" ht="12.95" customHeight="1">
      <c r="A21" s="60">
        <f t="shared" si="2"/>
        <v>0</v>
      </c>
      <c r="B21" s="54">
        <f t="shared" si="1"/>
        <v>0.98</v>
      </c>
      <c r="C21" s="42"/>
      <c r="D21" s="40"/>
      <c r="E21" s="41"/>
    </row>
    <row r="22" spans="1:5" ht="12.95" customHeight="1">
      <c r="A22" s="60">
        <f t="shared" si="2"/>
        <v>1</v>
      </c>
      <c r="B22" s="54">
        <f t="shared" si="1"/>
        <v>0.9168</v>
      </c>
      <c r="C22" s="42"/>
      <c r="D22" s="40"/>
      <c r="E22" s="41"/>
    </row>
    <row r="23" spans="1:5" ht="12.95" customHeight="1">
      <c r="A23" s="60">
        <f t="shared" si="2"/>
        <v>2</v>
      </c>
      <c r="B23" s="54">
        <f t="shared" si="1"/>
        <v>0.8071999999999999</v>
      </c>
      <c r="C23" s="42"/>
      <c r="D23" s="40"/>
      <c r="E23" s="41"/>
    </row>
    <row r="24" spans="1:5" ht="12.95" customHeight="1">
      <c r="A24" s="60">
        <f t="shared" si="2"/>
        <v>3</v>
      </c>
      <c r="B24" s="54">
        <f t="shared" si="1"/>
        <v>0.6512</v>
      </c>
      <c r="C24" s="42"/>
      <c r="D24" s="40"/>
      <c r="E24" s="41"/>
    </row>
    <row r="25" spans="1:5" ht="12.95" customHeight="1">
      <c r="A25" s="60">
        <v>5</v>
      </c>
      <c r="B25" s="54">
        <f t="shared" si="1"/>
        <v>0.19999999999999996</v>
      </c>
      <c r="C25" s="42"/>
      <c r="D25" s="40"/>
      <c r="E25" s="41"/>
    </row>
    <row r="26" spans="1:5" ht="12.95" customHeight="1">
      <c r="A26" s="130">
        <v>5</v>
      </c>
      <c r="B26" s="131">
        <f aca="true" t="shared" si="3" ref="B26:B31">0.008*A26^2-0.16*A26+0.8</f>
        <v>0.19999999999999996</v>
      </c>
      <c r="C26" s="42"/>
      <c r="D26" s="40"/>
      <c r="E26" s="41"/>
    </row>
    <row r="27" spans="1:5" ht="12.95" customHeight="1">
      <c r="A27" s="146">
        <v>6</v>
      </c>
      <c r="B27" s="131">
        <f t="shared" si="3"/>
        <v>0.1280000000000001</v>
      </c>
      <c r="C27" s="42"/>
      <c r="D27" s="40"/>
      <c r="E27" s="41"/>
    </row>
    <row r="28" spans="1:5" ht="12.95" customHeight="1" thickBot="1">
      <c r="A28" s="130">
        <v>7</v>
      </c>
      <c r="B28" s="131">
        <f t="shared" si="3"/>
        <v>0.07199999999999995</v>
      </c>
      <c r="C28" s="47"/>
      <c r="D28" s="43"/>
      <c r="E28" s="44"/>
    </row>
    <row r="29" spans="1:5" ht="12.95" customHeight="1" thickTop="1">
      <c r="A29" s="130">
        <v>8</v>
      </c>
      <c r="B29" s="131">
        <f t="shared" si="3"/>
        <v>0.03200000000000003</v>
      </c>
      <c r="C29" s="19"/>
      <c r="D29" s="19"/>
      <c r="E29" s="20"/>
    </row>
    <row r="30" spans="1:5" ht="12.95" customHeight="1">
      <c r="A30" s="146">
        <v>9</v>
      </c>
      <c r="B30" s="131">
        <f t="shared" si="3"/>
        <v>0.008000000000000118</v>
      </c>
      <c r="C30" s="19"/>
      <c r="D30" s="19"/>
      <c r="E30" s="20"/>
    </row>
    <row r="31" spans="1:5" ht="12.95" customHeight="1" thickBot="1">
      <c r="A31" s="132">
        <v>10</v>
      </c>
      <c r="B31" s="133">
        <f t="shared" si="3"/>
        <v>0</v>
      </c>
      <c r="C31" s="24"/>
      <c r="D31" s="24"/>
      <c r="E31" s="25"/>
    </row>
    <row r="32" ht="12.95" customHeight="1" thickTop="1"/>
    <row r="33" ht="12.95" customHeight="1" thickBot="1"/>
    <row r="34" spans="1:5" ht="30" customHeight="1" thickTop="1">
      <c r="A34" s="1" t="s">
        <v>7</v>
      </c>
      <c r="B34" s="2">
        <v>127</v>
      </c>
      <c r="C34" s="3" t="s">
        <v>5</v>
      </c>
      <c r="D34" s="4" t="s">
        <v>266</v>
      </c>
      <c r="E34" s="5" t="s">
        <v>256</v>
      </c>
    </row>
    <row r="35" spans="1:5" ht="30" customHeight="1">
      <c r="A35" s="6" t="s">
        <v>2</v>
      </c>
      <c r="B35" s="7" t="s">
        <v>265</v>
      </c>
      <c r="C35" s="8"/>
      <c r="D35" s="53" t="s">
        <v>267</v>
      </c>
      <c r="E35" s="97" t="s">
        <v>268</v>
      </c>
    </row>
    <row r="36" spans="1:5" ht="30" customHeight="1">
      <c r="A36" s="6" t="s">
        <v>10</v>
      </c>
      <c r="B36" s="7" t="s">
        <v>264</v>
      </c>
      <c r="C36" s="8"/>
      <c r="D36" s="53" t="s">
        <v>269</v>
      </c>
      <c r="E36" s="97" t="s">
        <v>270</v>
      </c>
    </row>
    <row r="37" spans="1:5" ht="30" customHeight="1" thickBot="1">
      <c r="A37" s="6" t="s">
        <v>3</v>
      </c>
      <c r="B37" s="7" t="s">
        <v>262</v>
      </c>
      <c r="C37" s="83"/>
      <c r="D37" s="99"/>
      <c r="E37" s="100"/>
    </row>
    <row r="38" spans="1:5" ht="30" customHeight="1">
      <c r="A38" s="6" t="s">
        <v>4</v>
      </c>
      <c r="B38" s="136" t="s">
        <v>271</v>
      </c>
      <c r="C38" s="10" t="s">
        <v>6</v>
      </c>
      <c r="D38" s="11">
        <v>-4</v>
      </c>
      <c r="E38" s="58"/>
    </row>
    <row r="39" spans="1:5" ht="30" customHeight="1" thickBot="1">
      <c r="A39" s="12" t="s">
        <v>11</v>
      </c>
      <c r="B39" s="37" t="s">
        <v>66</v>
      </c>
      <c r="C39" s="13" t="s">
        <v>0</v>
      </c>
      <c r="D39" s="14">
        <f>IF(D38&lt;-12,"valor del indicador fuera de rango",IF(D38&lt;=-5,0.0122*(D38^2)+(0.2931*D38)+1.76,IF(D38&lt;=4,(-0.0151*(D38^2))-(0.0207*D38)+0.875,IF(D38&lt;15,0.00333*(D38^2)-(0.113*D38)+0.95,"valor del indicador fuera de rango"))))</f>
        <v>0.7162</v>
      </c>
      <c r="E39" s="59"/>
    </row>
    <row r="40" spans="1:5" ht="30" customHeight="1">
      <c r="A40" s="15" t="s">
        <v>9</v>
      </c>
      <c r="B40" s="16" t="s">
        <v>0</v>
      </c>
      <c r="C40" s="189" t="s">
        <v>8</v>
      </c>
      <c r="D40" s="190"/>
      <c r="E40" s="191"/>
    </row>
    <row r="41" spans="1:5" ht="12.95" customHeight="1">
      <c r="A41" s="17">
        <v>-12</v>
      </c>
      <c r="B41" s="18">
        <f>0.0122*(A41^2)+0.2931*A41+1.76</f>
        <v>-0.000400000000000178</v>
      </c>
      <c r="C41" s="19"/>
      <c r="D41" s="40"/>
      <c r="E41" s="41"/>
    </row>
    <row r="42" spans="1:5" ht="12.95" customHeight="1">
      <c r="A42" s="21">
        <v>-10</v>
      </c>
      <c r="B42" s="18">
        <f>0.0122*(A42^2)+0.2931*A42+1.76</f>
        <v>0.04899999999999993</v>
      </c>
      <c r="C42" s="85"/>
      <c r="D42" s="40"/>
      <c r="E42" s="41"/>
    </row>
    <row r="43" spans="1:5" ht="12.95" customHeight="1">
      <c r="A43" s="21">
        <v>-8</v>
      </c>
      <c r="B43" s="18">
        <f>0.0122*(A43^2)+0.2931*A43+1.76</f>
        <v>0.19599999999999995</v>
      </c>
      <c r="C43" s="85"/>
      <c r="D43" s="40"/>
      <c r="E43" s="41"/>
    </row>
    <row r="44" spans="1:5" ht="12.95" customHeight="1">
      <c r="A44" s="17">
        <v>-6</v>
      </c>
      <c r="B44" s="18">
        <f>0.0122*(A44^2)+0.2931*A44+1.76</f>
        <v>0.4405999999999999</v>
      </c>
      <c r="C44" s="85"/>
      <c r="D44" s="40"/>
      <c r="E44" s="41"/>
    </row>
    <row r="45" spans="1:5" ht="12.95" customHeight="1">
      <c r="A45" s="21">
        <v>-5</v>
      </c>
      <c r="B45" s="18">
        <f>0.0122*(A45^2)+0.2931*A45+1.76</f>
        <v>0.5994999999999999</v>
      </c>
      <c r="C45" s="85"/>
      <c r="D45" s="40"/>
      <c r="E45" s="41"/>
    </row>
    <row r="46" spans="1:5" ht="12.95" customHeight="1">
      <c r="A46" s="60">
        <v>-5</v>
      </c>
      <c r="B46" s="54">
        <f aca="true" t="shared" si="4" ref="B46:B55">-0.0151*A46^2-0.0207*A46+0.875</f>
        <v>0.601</v>
      </c>
      <c r="C46" s="85"/>
      <c r="D46" s="40"/>
      <c r="E46" s="41"/>
    </row>
    <row r="47" spans="1:5" ht="12.95" customHeight="1">
      <c r="A47" s="174">
        <f>+A46+1</f>
        <v>-4</v>
      </c>
      <c r="B47" s="54">
        <f t="shared" si="4"/>
        <v>0.7162</v>
      </c>
      <c r="C47" s="85"/>
      <c r="D47" s="40"/>
      <c r="E47" s="41"/>
    </row>
    <row r="48" spans="1:5" ht="12.95" customHeight="1">
      <c r="A48" s="174">
        <f aca="true" t="shared" si="5" ref="A48:A58">+A47+1</f>
        <v>-3</v>
      </c>
      <c r="B48" s="54">
        <f t="shared" si="4"/>
        <v>0.8012</v>
      </c>
      <c r="C48" s="85"/>
      <c r="D48" s="40"/>
      <c r="E48" s="41"/>
    </row>
    <row r="49" spans="1:5" ht="12.95" customHeight="1">
      <c r="A49" s="174">
        <f t="shared" si="5"/>
        <v>-2</v>
      </c>
      <c r="B49" s="54">
        <f t="shared" si="4"/>
        <v>0.856</v>
      </c>
      <c r="C49" s="85"/>
      <c r="D49" s="40"/>
      <c r="E49" s="41"/>
    </row>
    <row r="50" spans="1:5" ht="12.95" customHeight="1">
      <c r="A50" s="174">
        <f t="shared" si="5"/>
        <v>-1</v>
      </c>
      <c r="B50" s="54">
        <f t="shared" si="4"/>
        <v>0.8806</v>
      </c>
      <c r="C50" s="85"/>
      <c r="D50" s="40"/>
      <c r="E50" s="41"/>
    </row>
    <row r="51" spans="1:5" ht="12.95" customHeight="1">
      <c r="A51" s="174">
        <f t="shared" si="5"/>
        <v>0</v>
      </c>
      <c r="B51" s="54">
        <f t="shared" si="4"/>
        <v>0.875</v>
      </c>
      <c r="C51" s="85"/>
      <c r="D51" s="40"/>
      <c r="E51" s="41"/>
    </row>
    <row r="52" spans="1:5" ht="12.95" customHeight="1">
      <c r="A52" s="174">
        <f t="shared" si="5"/>
        <v>1</v>
      </c>
      <c r="B52" s="54">
        <f t="shared" si="4"/>
        <v>0.8392</v>
      </c>
      <c r="C52" s="85"/>
      <c r="D52" s="40"/>
      <c r="E52" s="41"/>
    </row>
    <row r="53" spans="1:5" ht="12.95" customHeight="1">
      <c r="A53" s="174">
        <f t="shared" si="5"/>
        <v>2</v>
      </c>
      <c r="B53" s="54">
        <f t="shared" si="4"/>
        <v>0.7732</v>
      </c>
      <c r="C53" s="85"/>
      <c r="D53" s="40"/>
      <c r="E53" s="41"/>
    </row>
    <row r="54" spans="1:5" ht="12.95" customHeight="1">
      <c r="A54" s="174">
        <v>3</v>
      </c>
      <c r="B54" s="54">
        <f t="shared" si="4"/>
        <v>0.677</v>
      </c>
      <c r="C54" s="85"/>
      <c r="D54" s="40"/>
      <c r="E54" s="41"/>
    </row>
    <row r="55" spans="1:5" ht="12.95" customHeight="1">
      <c r="A55" s="174">
        <v>4</v>
      </c>
      <c r="B55" s="54">
        <f t="shared" si="4"/>
        <v>0.5506</v>
      </c>
      <c r="C55" s="85"/>
      <c r="D55" s="40"/>
      <c r="E55" s="41"/>
    </row>
    <row r="56" spans="1:5" ht="12.95" customHeight="1">
      <c r="A56" s="146">
        <v>4</v>
      </c>
      <c r="B56" s="131">
        <f aca="true" t="shared" si="6" ref="B56:B65">0.00333*A56^2-0.113*A56+0.95</f>
        <v>0.55128</v>
      </c>
      <c r="C56" s="85"/>
      <c r="D56" s="40"/>
      <c r="E56" s="41"/>
    </row>
    <row r="57" spans="1:5" ht="12.95" customHeight="1">
      <c r="A57" s="146">
        <f t="shared" si="5"/>
        <v>5</v>
      </c>
      <c r="B57" s="131">
        <f t="shared" si="6"/>
        <v>0.4682499999999999</v>
      </c>
      <c r="C57" s="85"/>
      <c r="D57" s="40"/>
      <c r="E57" s="41"/>
    </row>
    <row r="58" spans="1:5" ht="12.95" customHeight="1">
      <c r="A58" s="146">
        <f t="shared" si="5"/>
        <v>6</v>
      </c>
      <c r="B58" s="131">
        <f t="shared" si="6"/>
        <v>0.3918799999999999</v>
      </c>
      <c r="C58" s="85"/>
      <c r="D58" s="40"/>
      <c r="E58" s="41"/>
    </row>
    <row r="59" spans="1:5" ht="12.95" customHeight="1">
      <c r="A59" s="146">
        <v>8</v>
      </c>
      <c r="B59" s="131">
        <f t="shared" si="6"/>
        <v>0.2591199999999999</v>
      </c>
      <c r="C59" s="85"/>
      <c r="D59" s="40"/>
      <c r="E59" s="41"/>
    </row>
    <row r="60" spans="1:5" ht="12.95" customHeight="1">
      <c r="A60" s="146">
        <v>10</v>
      </c>
      <c r="B60" s="131">
        <f t="shared" si="6"/>
        <v>0.1529999999999998</v>
      </c>
      <c r="C60" s="85"/>
      <c r="D60" s="40"/>
      <c r="E60" s="41"/>
    </row>
    <row r="61" spans="1:5" ht="12.95" customHeight="1">
      <c r="A61" s="146">
        <v>11</v>
      </c>
      <c r="B61" s="131">
        <f t="shared" si="6"/>
        <v>0.10992999999999986</v>
      </c>
      <c r="C61" s="85"/>
      <c r="D61" s="40"/>
      <c r="E61" s="41"/>
    </row>
    <row r="62" spans="1:5" ht="12.95" customHeight="1" thickBot="1">
      <c r="A62" s="146">
        <v>12</v>
      </c>
      <c r="B62" s="131">
        <f t="shared" si="6"/>
        <v>0.07351999999999981</v>
      </c>
      <c r="C62" s="85"/>
      <c r="D62" s="43"/>
      <c r="E62" s="44"/>
    </row>
    <row r="63" spans="1:5" ht="12.95" customHeight="1" thickTop="1">
      <c r="A63" s="146">
        <v>13</v>
      </c>
      <c r="B63" s="131">
        <f t="shared" si="6"/>
        <v>0.043769999999999865</v>
      </c>
      <c r="C63" s="85"/>
      <c r="D63" s="19"/>
      <c r="E63" s="20"/>
    </row>
    <row r="64" spans="1:5" ht="12.95" customHeight="1">
      <c r="A64" s="146">
        <v>14</v>
      </c>
      <c r="B64" s="131">
        <f t="shared" si="6"/>
        <v>0.02067999999999992</v>
      </c>
      <c r="C64" s="85"/>
      <c r="D64" s="19"/>
      <c r="E64" s="20"/>
    </row>
    <row r="65" spans="1:5" ht="12.95" customHeight="1" thickBot="1">
      <c r="A65" s="187">
        <v>15</v>
      </c>
      <c r="B65" s="133">
        <f t="shared" si="6"/>
        <v>0.004249999999999865</v>
      </c>
      <c r="C65" s="92"/>
      <c r="D65" s="24"/>
      <c r="E65" s="25"/>
    </row>
    <row r="66" ht="12.95" customHeight="1" thickTop="1">
      <c r="C66" s="19"/>
    </row>
    <row r="67" ht="12.95" customHeight="1">
      <c r="C67" s="19"/>
    </row>
  </sheetData>
  <mergeCells count="2">
    <mergeCell ref="C7:E7"/>
    <mergeCell ref="C40:E40"/>
  </mergeCell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Dpto. Lluvias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Facultad de Farmacia</dc:creator>
  <cp:keywords/>
  <dc:description/>
  <cp:lastModifiedBy>iapenmal</cp:lastModifiedBy>
  <dcterms:created xsi:type="dcterms:W3CDTF">2007-07-04T10:59:05Z</dcterms:created>
  <dcterms:modified xsi:type="dcterms:W3CDTF">2012-12-04T11:12:23Z</dcterms:modified>
  <cp:category/>
  <cp:version/>
  <cp:contentType/>
  <cp:contentStatus/>
</cp:coreProperties>
</file>