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00000000-0000-0000-0000-000000000000}"/>
  <workbookPr codeName="ThisWorkbook" defaultThemeVersion="124226"/>
  <bookViews>
    <workbookView xWindow="120" yWindow="135" windowWidth="7335" windowHeight="3780" activeTab="1"/>
  </bookViews>
  <sheets>
    <sheet name="Registro" sheetId="29759" r:id="rId1"/>
    <sheet name="128-131" sheetId="1" r:id="rId2"/>
    <sheet name="132-135" sheetId="2" r:id="rId3"/>
    <sheet name="136" sheetId="3" r:id="rId4"/>
    <sheet name="137" sheetId="7220" r:id="rId5"/>
    <sheet name="138" sheetId="29757" r:id="rId6"/>
    <sheet name="139-140" sheetId="29756" r:id="rId7"/>
    <sheet name="141" sheetId="29758" r:id="rId8"/>
    <sheet name="142-145" sheetId="2316" r:id="rId9"/>
    <sheet name="146-147" sheetId="2819" r:id="rId10"/>
    <sheet name="148-149" sheetId="513" r:id="rId11"/>
    <sheet name="150" sheetId="32" r:id="rId12"/>
    <sheet name="151-152" sheetId="259" r:id="rId13"/>
    <sheet name="153" sheetId="836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ficha">#REF!</definedName>
    <definedName name="OLE_LINK13" localSheetId="5">'138'!$C$34</definedName>
  </definedNames>
  <calcPr calcId="125725"/>
</workbook>
</file>

<file path=xl/sharedStrings.xml><?xml version="1.0" encoding="utf-8"?>
<sst xmlns="http://schemas.openxmlformats.org/spreadsheetml/2006/main" count="529" uniqueCount="143">
  <si>
    <t>calidad ambiental</t>
  </si>
  <si>
    <t>CA=0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</si>
  <si>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</si>
  <si>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</si>
  <si>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</si>
  <si>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</si>
  <si>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</si>
  <si>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</si>
  <si>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</si>
  <si>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</si>
  <si>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</si>
  <si>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</si>
  <si>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0&lt;I&lt;100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</si>
  <si>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</si>
  <si>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0&lt;I&lt;33</t>
  </si>
  <si>
    <r>
      <t>CA=-2,23E-04I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+4,46E-02I-1,230</t>
    </r>
  </si>
  <si>
    <t>33&lt;I&lt;100</t>
  </si>
  <si>
    <t>Importancia media de los elementos e la red</t>
  </si>
  <si>
    <t>CA=1E-02I</t>
  </si>
  <si>
    <t>Disminución de la funcionalidad de la red</t>
  </si>
  <si>
    <t>0&lt;I&lt;85</t>
  </si>
  <si>
    <t>85&lt;I&lt;100</t>
  </si>
  <si>
    <r>
      <t>CA=-6,92E-05I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</si>
  <si>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CA=-1,52E-03I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+2,47E-01I-9,550</t>
    </r>
  </si>
  <si>
    <t>Concentración de sales disueltas</t>
  </si>
  <si>
    <r>
      <t>CA=-4E-06I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+4E-03I</t>
    </r>
  </si>
  <si>
    <t>0&lt;I&lt;500</t>
  </si>
  <si>
    <t>500&lt;I&lt;1500</t>
  </si>
  <si>
    <t>1500&lt;I&lt;3000</t>
  </si>
  <si>
    <r>
      <t>CA=-4E-07I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+4E-04I+9E-01</t>
    </r>
  </si>
  <si>
    <r>
      <t>CA=2,67E-07I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-1,6E-03I+2,400</t>
    </r>
  </si>
  <si>
    <t>Concentración de sales disueltas (Curva propuesta por ORSANCO)</t>
  </si>
  <si>
    <t>CA=1</t>
  </si>
  <si>
    <t>CA=8E-01</t>
  </si>
  <si>
    <t>500&lt;I&lt;1000</t>
  </si>
  <si>
    <t>CA=4E-01</t>
  </si>
  <si>
    <t>1000&lt;I&lt;1700</t>
  </si>
  <si>
    <t>Conductividad eléctrica (CE) de las aguas</t>
  </si>
  <si>
    <t>0&lt;I&lt;750</t>
  </si>
  <si>
    <r>
      <t>CA=-1,78E-06I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+2,67E-03I</t>
    </r>
  </si>
  <si>
    <r>
      <t>CA=-1,78E-07I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+2,64E-04I+9E-01</t>
    </r>
  </si>
  <si>
    <r>
      <t>CA= 1,19E-07I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-1,07E-03I+2,400</t>
    </r>
  </si>
  <si>
    <t>750&lt;I&lt;2250</t>
  </si>
  <si>
    <t>2250&lt;I&lt;4500</t>
  </si>
  <si>
    <t>unidades Jackson</t>
  </si>
  <si>
    <t>0&lt;I&lt;50</t>
  </si>
  <si>
    <t>CA=-4,44E-03I+6,22E-01</t>
  </si>
  <si>
    <t>50&lt;I&lt;140</t>
  </si>
  <si>
    <t>0&lt;I&lt;15</t>
  </si>
  <si>
    <t>15&lt;I&lt;100</t>
  </si>
  <si>
    <t>Variación de la peligrosidad potencial</t>
  </si>
  <si>
    <t>CA=-2,5E-01I+1</t>
  </si>
  <si>
    <t>0&lt;I&lt;1</t>
  </si>
  <si>
    <t>CA=-1,88E-01I+9,38E-01</t>
  </si>
  <si>
    <t>1&lt;I&lt;5</t>
  </si>
  <si>
    <r>
      <t>CA=1,38E-04I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-1,89E-02I+1</t>
    </r>
  </si>
  <si>
    <r>
      <t>CA=-6,67E-04I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</si>
  <si>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CA=1,18E-04I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-2,35E-02I+1,180</t>
    </r>
  </si>
  <si>
    <t>% de superdicie afectada por procesos de erosión-sedimentación</t>
  </si>
  <si>
    <t>CA=-1E-01I+1</t>
  </si>
  <si>
    <t>0&lt;I&lt;5</t>
  </si>
  <si>
    <t>5&lt;I&lt;25</t>
  </si>
  <si>
    <t>CA=1,25E-03I2-6,25E-02I+7,81E-01</t>
  </si>
  <si>
    <t>0 - 100</t>
  </si>
  <si>
    <t>0&lt;I&lt;20</t>
  </si>
  <si>
    <t>20&lt;I&lt;100</t>
  </si>
  <si>
    <t>0 - 5</t>
  </si>
  <si>
    <t>0 - 140</t>
  </si>
  <si>
    <t>0 - 25</t>
  </si>
  <si>
    <t>0 - 3000</t>
  </si>
  <si>
    <t>0 - 1700</t>
  </si>
  <si>
    <r>
      <t>dS m</t>
    </r>
    <r>
      <rPr>
        <vertAlign val="superscript"/>
        <sz val="8"/>
        <rFont val="Arial"/>
        <family val="2"/>
      </rPr>
      <t>-1</t>
    </r>
  </si>
  <si>
    <t>0 - 4500</t>
  </si>
  <si>
    <t>Conductividad eléctrica (CE) de las aguas (curva propuesta por ORSANCO)</t>
  </si>
  <si>
    <t>0 - 2500</t>
  </si>
  <si>
    <t>Turbidez de las aguas</t>
  </si>
  <si>
    <t>Concentración media de fósforo en las aguas</t>
  </si>
  <si>
    <r>
      <t>mg  m</t>
    </r>
    <r>
      <rPr>
        <vertAlign val="superscript"/>
        <sz val="8"/>
        <rFont val="Arial"/>
        <family val="2"/>
      </rPr>
      <t>-3</t>
    </r>
  </si>
  <si>
    <t xml:space="preserve">  -100     -   100</t>
  </si>
  <si>
    <t>CA= -4,5E-05*(I^2)+5,5E-03*I+1</t>
  </si>
  <si>
    <t>(-100)&lt;I&lt;0</t>
  </si>
  <si>
    <t>CA=-1,56E-04*(I^2)+6,25E-03*(I)+9,38E-01</t>
  </si>
  <si>
    <t>CA= 1E-04*(I^2)+2E-02*I+1,500</t>
  </si>
  <si>
    <t>(-100)&lt;I&lt;(-50)</t>
  </si>
  <si>
    <t>CA=-4E-04*(I^2)-2E-02*I+7,5E-01</t>
  </si>
  <si>
    <t>(-50)&lt;I&lt;0</t>
  </si>
  <si>
    <t>CA= 7,5-05*(I^2)-1,5E-02*I+7,5E-01</t>
  </si>
  <si>
    <t>Variación del tiempo de permanencia del agua en la superficie respecto a la situación "sin" proyecto (núcleos urbanos)</t>
  </si>
  <si>
    <t>Variación del tiempo de permanencia del agua en la superficie respecto a la situación "sin" proyecto (núcleos no urbanos)</t>
  </si>
  <si>
    <t>CA= 6E-05(I^2)+1,2E-0,2*I+1,2</t>
  </si>
  <si>
    <t>CA= -4E-04*(I^2)-2E-02*I+7,5E-01</t>
  </si>
  <si>
    <t>CA= -7,5E-03*I+7,5E-01</t>
  </si>
  <si>
    <t>Variación del tiempo de permanencia del agua en la superficie respecto a las condiciones naturales (núcleos urbanos)</t>
  </si>
  <si>
    <t>Variación del tiempo de permanencia del agua en la superficie respecto a las condiciones naturales (núcleos no urbanos)</t>
  </si>
  <si>
    <t>0&gt;I&gt;(-100)</t>
  </si>
  <si>
    <r>
      <t>CA=-1*E-4*I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</si>
  <si>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Variación del riesgo de inundaciones ponderado según el daño potencial</t>
  </si>
  <si>
    <t>Variación del riesgo de inundaciones con respecto a las condiciones naturales ponderado por el daño potencial</t>
  </si>
  <si>
    <r>
      <t>CA=2E-4*I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+4E-2*I+2</t>
    </r>
  </si>
  <si>
    <t>( -100)&lt;I&lt;(-50)</t>
  </si>
  <si>
    <r>
      <t>CA=-2E-4*I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</si>
  <si>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(-50)&lt;I&lt;50</t>
  </si>
  <si>
    <t>50&lt;I&lt;100</t>
  </si>
  <si>
    <t>Media ponderada de los materiales desplazados según la superficie de zonas homogéneas</t>
  </si>
  <si>
    <t>0     -   100</t>
  </si>
  <si>
    <r>
      <t>CA=-6E-3*I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</si>
  <si>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CA=2,13E-3*I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-1,06E-1*I+1,330</t>
    </r>
  </si>
  <si>
    <t>25&lt;I&lt;100</t>
  </si>
  <si>
    <r>
      <t>T ha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2"/>
      </rPr>
      <t xml:space="preserve"> año</t>
    </r>
    <r>
      <rPr>
        <vertAlign val="superscript"/>
        <sz val="8"/>
        <rFont val="Arial"/>
        <family val="2"/>
      </rPr>
      <t>-1</t>
    </r>
  </si>
  <si>
    <r>
      <t>CA=-1,21E-1*I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</si>
  <si>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0&lt;I&lt;1,7</t>
  </si>
  <si>
    <t>Materiales desplazados por erosión eólica</t>
  </si>
  <si>
    <r>
      <t>CA=5,97E-2*I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-5,97E-1*I+1,490</t>
    </r>
  </si>
  <si>
    <t>1,7&lt;I&lt;5</t>
  </si>
  <si>
    <r>
      <t>kg m</t>
    </r>
    <r>
      <rPr>
        <vertAlign val="superscript"/>
        <sz val="8"/>
        <rFont val="Arial"/>
        <family val="2"/>
      </rPr>
      <t>-2</t>
    </r>
    <r>
      <rPr>
        <sz val="8"/>
        <rFont val="Arial"/>
        <family val="2"/>
      </rPr>
      <t xml:space="preserve"> a</t>
    </r>
    <r>
      <rPr>
        <vertAlign val="superscript"/>
        <sz val="8"/>
        <rFont val="Arial"/>
        <family val="2"/>
      </rPr>
      <t>-1</t>
    </r>
  </si>
  <si>
    <r>
      <t>CA=-1E-4*I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</si>
  <si>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r>
      <t>CA=-6,4E-5*I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-3,6E-3*I+1</t>
    </r>
  </si>
  <si>
    <t>Variación del volumen de deposición en zonas sensibles con respecto a las condiciones naturales</t>
  </si>
  <si>
    <t xml:space="preserve"> -100&lt;I&lt;0</t>
  </si>
  <si>
    <t>CA=-1E-02x+1</t>
  </si>
  <si>
    <t>Variación de los riesgos existentes</t>
  </si>
  <si>
    <t>Variación de los riesgos existentes ponderados según el valor ambiental y el daño potencial</t>
  </si>
  <si>
    <r>
      <t>CA=-8,89E-05x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+1,33E-02x+5E-0,1</t>
    </r>
  </si>
  <si>
    <t>0&lt;I&lt;75</t>
  </si>
  <si>
    <t>variación de la compactación del terreno en relación a las condiciones naturales</t>
  </si>
  <si>
    <t>75&lt;I&lt;100</t>
  </si>
  <si>
    <r>
      <t>CA=-1E-04x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+2E-02x</t>
    </r>
  </si>
  <si>
    <t>100&lt;I&lt;200</t>
  </si>
  <si>
    <t>0 - 200</t>
  </si>
  <si>
    <t>2 (T=0,25)</t>
  </si>
  <si>
    <r>
      <t>mg l</t>
    </r>
    <r>
      <rPr>
        <vertAlign val="superscript"/>
        <sz val="8"/>
        <rFont val="Arial"/>
        <family val="2"/>
      </rPr>
      <t>-1</t>
    </r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</si>
  <si>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</si>
  <si>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</si>
  <si>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</si>
  <si>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</si>
  <si>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</si>
  <si>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</si>
  <si>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</si>
  <si>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</si>
  <si>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</si>
  <si>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</si>
  <si>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Longitud de los elementos de la red ponderados por su importancia (poco rigor conservacionista)</t>
  </si>
  <si>
    <t>Longitud de los elementos de la red ponderados por su importancia (mucho rigor conservacionista) 
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</si>
</sst>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11">
    <font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vertAlign val="subscript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 style="thick"/>
      <right style="hair"/>
      <top style="thin"/>
      <bottom/>
    </border>
    <border>
      <left/>
      <right style="thick"/>
      <top style="medium"/>
      <bottom style="thin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/>
      <bottom style="medium"/>
    </border>
    <border>
      <left style="dotted"/>
      <right style="medium"/>
      <top/>
      <bottom style="thick"/>
    </border>
    <border>
      <left style="thin"/>
      <right style="thin"/>
      <top/>
      <bottom style="thin"/>
    </border>
    <border>
      <left style="dashed"/>
      <right/>
      <top style="thin"/>
      <bottom style="thin"/>
    </border>
    <border>
      <left style="dashed"/>
      <right/>
      <top style="thin"/>
      <bottom style="thick"/>
    </border>
    <border>
      <left style="thin"/>
      <right style="thin"/>
      <top style="thin"/>
      <bottom style="thin"/>
    </border>
    <border>
      <left style="thick"/>
      <right style="dashed"/>
      <top style="thin"/>
      <bottom style="thin"/>
    </border>
    <border>
      <left style="thick"/>
      <right style="dashed"/>
      <top style="thin"/>
      <bottom style="thick"/>
    </border>
    <border>
      <left/>
      <right/>
      <top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thin"/>
      <top style="thin"/>
      <bottom style="thin"/>
    </border>
    <border>
      <left/>
      <right style="medium"/>
      <top/>
      <bottom style="thin"/>
    </border>
    <border>
      <left style="dotted"/>
      <right style="thin"/>
      <top/>
      <bottom style="thin"/>
    </border>
    <border>
      <left style="dotted"/>
      <right style="thin"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ashed"/>
      <right style="medium"/>
      <top style="thin"/>
      <bottom style="thin"/>
    </border>
    <border>
      <left style="dashed"/>
      <right style="medium"/>
      <top/>
      <bottom style="thin"/>
    </border>
    <border>
      <left style="dashed"/>
      <right style="medium"/>
      <top/>
      <bottom style="thick"/>
    </border>
    <border>
      <left style="dotted"/>
      <right style="dotted"/>
      <top style="thin"/>
      <bottom style="thick"/>
    </border>
    <border>
      <left style="hair"/>
      <right style="medium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medium"/>
      <right/>
      <top style="thin"/>
      <bottom style="thin"/>
    </border>
    <border>
      <left style="thin"/>
      <right style="dotted"/>
      <top style="thin"/>
      <bottom style="thin"/>
    </border>
    <border>
      <left/>
      <right style="thick"/>
      <top/>
      <bottom style="thin"/>
    </border>
    <border>
      <left style="dotted"/>
      <right style="dotted"/>
      <top/>
      <bottom/>
    </border>
    <border>
      <left style="thick"/>
      <right style="dashed"/>
      <top style="thin"/>
      <bottom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dotted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/>
    <xf numFmtId="0" fontId="2" fillId="3" borderId="21" xfId="0" applyFont="1" applyFill="1" applyBorder="1"/>
    <xf numFmtId="0" fontId="3" fillId="4" borderId="22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164" fontId="2" fillId="3" borderId="23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5" borderId="27" xfId="0" applyNumberFormat="1" applyFont="1" applyFill="1" applyBorder="1" applyAlignment="1">
      <alignment horizontal="center" vertical="center" wrapText="1"/>
    </xf>
    <xf numFmtId="164" fontId="2" fillId="5" borderId="28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2" fillId="3" borderId="30" xfId="0" applyNumberFormat="1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2" fontId="2" fillId="5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64" fontId="2" fillId="3" borderId="34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2" fillId="3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64" fontId="2" fillId="3" borderId="41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164" fontId="2" fillId="5" borderId="23" xfId="0" applyNumberFormat="1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164" fontId="2" fillId="5" borderId="25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5" fontId="2" fillId="2" borderId="45" xfId="0" applyNumberFormat="1" applyFont="1" applyFill="1" applyBorder="1" applyAlignment="1">
      <alignment horizontal="center" vertical="center" wrapText="1"/>
    </xf>
    <xf numFmtId="165" fontId="2" fillId="2" borderId="46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165" fontId="2" fillId="3" borderId="45" xfId="0" applyNumberFormat="1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165" fontId="2" fillId="5" borderId="45" xfId="0" applyNumberFormat="1" applyFont="1" applyFill="1" applyBorder="1" applyAlignment="1">
      <alignment horizontal="center" vertical="center" wrapText="1"/>
    </xf>
    <xf numFmtId="165" fontId="2" fillId="5" borderId="46" xfId="0" applyNumberFormat="1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5" fontId="2" fillId="5" borderId="47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2" fillId="5" borderId="48" xfId="0" applyNumberFormat="1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5" borderId="3" xfId="0" applyNumberFormat="1" applyFont="1" applyFill="1" applyBorder="1" applyAlignment="1">
      <alignment horizontal="center" vertical="center" wrapText="1"/>
    </xf>
    <xf numFmtId="165" fontId="2" fillId="5" borderId="48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164" fontId="2" fillId="5" borderId="29" xfId="0" applyNumberFormat="1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 wrapText="1"/>
    </xf>
    <xf numFmtId="164" fontId="2" fillId="5" borderId="34" xfId="0" applyNumberFormat="1" applyFont="1" applyFill="1" applyBorder="1" applyAlignment="1">
      <alignment horizontal="center" vertical="center" wrapText="1"/>
    </xf>
    <xf numFmtId="164" fontId="2" fillId="5" borderId="51" xfId="0" applyNumberFormat="1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56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165" fontId="2" fillId="3" borderId="30" xfId="0" applyNumberFormat="1" applyFont="1" applyFill="1" applyBorder="1" applyAlignment="1">
      <alignment horizontal="center" vertical="center" wrapText="1"/>
    </xf>
    <xf numFmtId="165" fontId="2" fillId="3" borderId="31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 wrapText="1"/>
    </xf>
    <xf numFmtId="1" fontId="2" fillId="3" borderId="57" xfId="0" applyNumberFormat="1" applyFont="1" applyFill="1" applyBorder="1" applyAlignment="1">
      <alignment horizontal="center" vertical="center" wrapText="1"/>
    </xf>
    <xf numFmtId="1" fontId="2" fillId="5" borderId="57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/>
    </xf>
    <xf numFmtId="164" fontId="2" fillId="3" borderId="38" xfId="0" applyNumberFormat="1" applyFont="1" applyFill="1" applyBorder="1" applyAlignment="1">
      <alignment horizontal="center" vertical="center"/>
    </xf>
    <xf numFmtId="164" fontId="2" fillId="5" borderId="38" xfId="0" applyNumberFormat="1" applyFont="1" applyFill="1" applyBorder="1" applyAlignment="1">
      <alignment horizontal="center" vertical="center"/>
    </xf>
    <xf numFmtId="1" fontId="2" fillId="5" borderId="58" xfId="0" applyNumberFormat="1" applyFont="1" applyFill="1" applyBorder="1" applyAlignment="1">
      <alignment horizontal="center" vertical="center" wrapText="1"/>
    </xf>
    <xf numFmtId="164" fontId="2" fillId="5" borderId="59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'128-131'!$A$8:$A$32</c:f>
              <c:numCache/>
            </c:numRef>
          </c:xVal>
          <c:yVal>
            <c:numRef>
              <c:f>'128-131'!$B$8:$B$32</c:f>
              <c:numCache/>
            </c:numRef>
          </c:yVal>
          <c:smooth val="0"/>
        </c:ser>
        <c:axId val="32812909"/>
        <c:axId val="26880726"/>
      </c:scatterChart>
      <c:valAx>
        <c:axId val="328129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880726"/>
        <c:crosses val="autoZero"/>
        <c:crossBetween val="midCat"/>
        <c:dispUnits/>
      </c:valAx>
      <c:valAx>
        <c:axId val="2688072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1290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'137'!$A$8:$A$23</c:f>
              <c:numCache/>
            </c:numRef>
          </c:xVal>
          <c:yVal>
            <c:numRef>
              <c:f>'137'!$B$8:$B$23</c:f>
              <c:numCache/>
            </c:numRef>
          </c:yVal>
          <c:smooth val="0"/>
        </c:ser>
        <c:axId val="27311831"/>
        <c:axId val="44479888"/>
      </c:scatterChart>
      <c:valAx>
        <c:axId val="273118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Fósforo (mg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44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479888"/>
        <c:crosses val="autoZero"/>
        <c:crossBetween val="midCat"/>
        <c:dispUnits/>
      </c:valAx>
      <c:valAx>
        <c:axId val="444798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31183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'138'!$A$8:$A$31</c:f>
              <c:numCache/>
            </c:numRef>
          </c:xVal>
          <c:yVal>
            <c:numRef>
              <c:f>'138'!$B$8:$B$31</c:f>
              <c:numCache/>
            </c:numRef>
          </c:yVal>
          <c:smooth val="0"/>
        </c:ser>
        <c:axId val="64774673"/>
        <c:axId val="46101146"/>
      </c:scatterChart>
      <c:valAx>
        <c:axId val="64774673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101146"/>
        <c:crosses val="autoZero"/>
        <c:crossBetween val="midCat"/>
        <c:dispUnits/>
      </c:valAx>
      <c:valAx>
        <c:axId val="461011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77467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'139-140'!$A$8:$A$24</c:f>
              <c:numCache/>
            </c:numRef>
          </c:xVal>
          <c:yVal>
            <c:numRef>
              <c:f>'139-140'!$B$8:$B$24</c:f>
              <c:numCache/>
            </c:numRef>
          </c:yVal>
          <c:smooth val="0"/>
        </c:ser>
        <c:axId val="12257131"/>
        <c:axId val="43205316"/>
      </c:scatterChart>
      <c:valAx>
        <c:axId val="12257131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205316"/>
        <c:crosses val="autoZero"/>
        <c:crossBetween val="midCat"/>
        <c:dispUnits/>
      </c:valAx>
      <c:valAx>
        <c:axId val="432053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25713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'139-140'!$A$34:$A$50</c:f>
              <c:numCache/>
            </c:numRef>
          </c:xVal>
          <c:yVal>
            <c:numRef>
              <c:f>'139-140'!$B$34:$B$50</c:f>
              <c:numCache/>
            </c:numRef>
          </c:yVal>
          <c:smooth val="0"/>
        </c:ser>
        <c:axId val="53303525"/>
        <c:axId val="9969678"/>
      </c:scatterChart>
      <c:valAx>
        <c:axId val="53303525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11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69678"/>
        <c:crosses val="autoZero"/>
        <c:crossBetween val="midCat"/>
        <c:dispUnits/>
      </c:valAx>
      <c:valAx>
        <c:axId val="996967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30352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'141'!$A$8:$A$25</c:f>
              <c:numCache/>
            </c:numRef>
          </c:xVal>
          <c:yVal>
            <c:numRef>
              <c:f>'141'!$B$8:$B$25</c:f>
              <c:numCache/>
            </c:numRef>
          </c:yVal>
          <c:smooth val="0"/>
        </c:ser>
        <c:axId val="22618239"/>
        <c:axId val="2237560"/>
      </c:scatterChart>
      <c:valAx>
        <c:axId val="2261823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7560"/>
        <c:crosses val="autoZero"/>
        <c:crossBetween val="midCat"/>
        <c:dispUnits/>
      </c:valAx>
      <c:valAx>
        <c:axId val="22375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61823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'142-145'!$A$8:$A$24</c:f>
              <c:numCache/>
            </c:numRef>
          </c:xVal>
          <c:yVal>
            <c:numRef>
              <c:f>'142-145'!$B$8:$B$24</c:f>
              <c:numCache/>
            </c:numRef>
          </c:yVal>
          <c:smooth val="0"/>
        </c:ser>
        <c:axId val="20138041"/>
        <c:axId val="47024642"/>
      </c:scatterChart>
      <c:valAx>
        <c:axId val="2013804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024642"/>
        <c:crosses val="autoZero"/>
        <c:crossBetween val="midCat"/>
        <c:dispUnits/>
      </c:valAx>
      <c:valAx>
        <c:axId val="470246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13804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20568595"/>
        <c:axId val="50899628"/>
      </c:scatterChart>
      <c:valAx>
        <c:axId val="2056859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99628"/>
        <c:crosses val="autoZero"/>
        <c:crossBetween val="midCat"/>
        <c:dispUnits/>
      </c:valAx>
      <c:valAx>
        <c:axId val="508996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6859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'142-145'!$A$60:$A$76</c:f>
              <c:numCache/>
            </c:numRef>
          </c:xVal>
          <c:yVal>
            <c:numRef>
              <c:f>'142-145'!$B$60:$B$76</c:f>
              <c:numCache/>
            </c:numRef>
          </c:yVal>
          <c:smooth val="0"/>
        </c:ser>
        <c:axId val="55443469"/>
        <c:axId val="29229174"/>
      </c:scatterChart>
      <c:valAx>
        <c:axId val="5544346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229174"/>
        <c:crosses val="autoZero"/>
        <c:crossBetween val="midCat"/>
        <c:dispUnits/>
      </c:valAx>
      <c:valAx>
        <c:axId val="292291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44346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'142-145'!$A$34:$A$50</c:f>
              <c:numCache/>
            </c:numRef>
          </c:xVal>
          <c:yVal>
            <c:numRef>
              <c:f>'142-145'!$B$34:$B$50</c:f>
              <c:numCache/>
            </c:numRef>
          </c:yVal>
          <c:smooth val="0"/>
        </c:ser>
        <c:axId val="61735975"/>
        <c:axId val="18752864"/>
      </c:scatterChart>
      <c:valAx>
        <c:axId val="6173597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752864"/>
        <c:crosses val="autoZero"/>
        <c:crossBetween val="midCat"/>
        <c:dispUnits/>
      </c:valAx>
      <c:valAx>
        <c:axId val="187528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73597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'146-147'!$A$8:$A$28</c:f>
              <c:numCache/>
            </c:numRef>
          </c:xVal>
          <c:yVal>
            <c:numRef>
              <c:f>'146-147'!$B$8:$B$28</c:f>
              <c:numCache/>
            </c:numRef>
          </c:yVal>
          <c:smooth val="0"/>
        </c:ser>
        <c:axId val="34558049"/>
        <c:axId val="42586986"/>
      </c:scatterChart>
      <c:valAx>
        <c:axId val="34558049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86986"/>
        <c:crosses val="autoZero"/>
        <c:crossBetween val="midCat"/>
        <c:dispUnits/>
      </c:valAx>
      <c:valAx>
        <c:axId val="425869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55804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'128-131'!$A$42:$A$66</c:f>
              <c:numCache/>
            </c:numRef>
          </c:xVal>
          <c:yVal>
            <c:numRef>
              <c:f>'128-131'!$B$42:$B$66</c:f>
              <c:numCache/>
            </c:numRef>
          </c:yVal>
          <c:smooth val="0"/>
        </c:ser>
        <c:axId val="40599943"/>
        <c:axId val="29855168"/>
      </c:scatterChart>
      <c:valAx>
        <c:axId val="4059994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55168"/>
        <c:crosses val="autoZero"/>
        <c:crossBetween val="midCat"/>
        <c:dispUnits/>
      </c:valAx>
      <c:valAx>
        <c:axId val="2985516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99943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'146-147'!$A$38:$A$58</c:f>
              <c:numCache/>
            </c:numRef>
          </c:xVal>
          <c:yVal>
            <c:numRef>
              <c:f>'146-147'!$B$38:$B$58</c:f>
              <c:numCache/>
            </c:numRef>
          </c:yVal>
          <c:smooth val="0"/>
        </c:ser>
        <c:axId val="47738555"/>
        <c:axId val="26993812"/>
      </c:scatterChart>
      <c:valAx>
        <c:axId val="4773855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993812"/>
        <c:crosses val="autoZero"/>
        <c:crossBetween val="midCat"/>
        <c:dispUnits/>
      </c:valAx>
      <c:valAx>
        <c:axId val="269938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3855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49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'148-149'!$A$8:$A$28</c:f>
              <c:numCache/>
            </c:numRef>
          </c:xVal>
          <c:yVal>
            <c:numRef>
              <c:f>'148-149'!$B$8:$B$28</c:f>
              <c:numCache/>
            </c:numRef>
          </c:yVal>
          <c:smooth val="0"/>
        </c:ser>
        <c:axId val="41617717"/>
        <c:axId val="39015134"/>
      </c:scatterChart>
      <c:valAx>
        <c:axId val="416177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desplazados (T ha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12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15134"/>
        <c:crosses val="autoZero"/>
        <c:crossBetween val="midCat"/>
        <c:dispUnits/>
      </c:valAx>
      <c:valAx>
        <c:axId val="390151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61771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5775"/>
          <c:w val="0.8617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'148-149'!$A$38:$A$54</c:f>
              <c:numCache/>
            </c:numRef>
          </c:xVal>
          <c:yVal>
            <c:numRef>
              <c:f>'148-149'!$B$38:$B$54</c:f>
              <c:numCache/>
            </c:numRef>
          </c:yVal>
          <c:smooth val="0"/>
        </c:ser>
        <c:axId val="15591887"/>
        <c:axId val="6109256"/>
      </c:scatterChart>
      <c:valAx>
        <c:axId val="15591887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Materiales arrastrados (kg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año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33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09256"/>
        <c:crosses val="autoZero"/>
        <c:crossBetween val="midCat"/>
        <c:dispUnits/>
      </c:valAx>
      <c:valAx>
        <c:axId val="610925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8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9188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'150'!$A$8:$A$26</c:f>
              <c:numCache/>
            </c:numRef>
          </c:xVal>
          <c:yVal>
            <c:numRef>
              <c:f>'150'!$B$8:$B$26</c:f>
              <c:numCache/>
            </c:numRef>
          </c:yVal>
          <c:smooth val="0"/>
        </c:ser>
        <c:axId val="54983305"/>
        <c:axId val="25087698"/>
      </c:scatterChart>
      <c:valAx>
        <c:axId val="5498330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87698"/>
        <c:crosses val="autoZero"/>
        <c:crossBetween val="midCat"/>
        <c:dispUnits/>
      </c:valAx>
      <c:valAx>
        <c:axId val="250876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98330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'151-152'!$A$8:$A$28</c:f>
              <c:numCache/>
            </c:numRef>
          </c:xVal>
          <c:yVal>
            <c:numRef>
              <c:f>'151-152'!$B$8:$B$28</c:f>
              <c:numCache/>
            </c:numRef>
          </c:yVal>
          <c:smooth val="0"/>
        </c:ser>
        <c:axId val="24462691"/>
        <c:axId val="18837628"/>
      </c:scatterChart>
      <c:valAx>
        <c:axId val="2446269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837628"/>
        <c:crosses val="autoZero"/>
        <c:crossBetween val="midCat"/>
        <c:dispUnits/>
      </c:valAx>
      <c:valAx>
        <c:axId val="188376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6269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'151-152'!$B$7</c:f>
              <c:strCache>
                <c:ptCount val="1"/>
                <c:pt idx="0">
                  <c:v>calidad ambiental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'151-152'!$A$38:$A$63</c:f>
              <c:numCache/>
            </c:numRef>
          </c:xVal>
          <c:yVal>
            <c:numRef>
              <c:f>'151-152'!$B$38:$B$63</c:f>
              <c:numCache/>
            </c:numRef>
          </c:yVal>
          <c:smooth val="0"/>
        </c:ser>
        <c:axId val="35320925"/>
        <c:axId val="49452870"/>
      </c:scatterChart>
      <c:valAx>
        <c:axId val="35320925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452870"/>
        <c:crosses val="autoZero"/>
        <c:crossBetween val="midCat"/>
        <c:dispUnits/>
      </c:valAx>
      <c:valAx>
        <c:axId val="494528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320925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'153'!$A$8:$A$23</c:f>
              <c:numCache/>
            </c:numRef>
          </c:xVal>
          <c:yVal>
            <c:numRef>
              <c:f>'153'!$B$8:$B$23</c:f>
              <c:numCache/>
            </c:numRef>
          </c:yVal>
          <c:smooth val="0"/>
        </c:ser>
        <c:axId val="42422647"/>
        <c:axId val="46259504"/>
      </c:scatterChart>
      <c:valAx>
        <c:axId val="4242264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259504"/>
        <c:crosses val="autoZero"/>
        <c:crossBetween val="midCat"/>
        <c:dispUnits/>
      </c:valAx>
      <c:valAx>
        <c:axId val="4625950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42264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'128-131'!$A$76:$A$97</c:f>
              <c:numCache/>
            </c:numRef>
          </c:xVal>
          <c:yVal>
            <c:numRef>
              <c:f>'128-131'!$B$76:$B$97</c:f>
              <c:numCache/>
            </c:numRef>
          </c:yVal>
          <c:smooth val="0"/>
        </c:ser>
        <c:axId val="261057"/>
        <c:axId val="2349514"/>
      </c:scatterChart>
      <c:valAx>
        <c:axId val="26105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49514"/>
        <c:crosses val="autoZero"/>
        <c:crossBetween val="midCat"/>
        <c:dispUnits/>
      </c:valAx>
      <c:valAx>
        <c:axId val="23495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05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'128-131'!$A$107:$A$125</c:f>
              <c:numCache/>
            </c:numRef>
          </c:xVal>
          <c:yVal>
            <c:numRef>
              <c:f>'128-131'!$B$107:$B$125</c:f>
              <c:numCache/>
            </c:numRef>
          </c:yVal>
          <c:smooth val="0"/>
        </c:ser>
        <c:axId val="21145627"/>
        <c:axId val="56092916"/>
      </c:scatterChart>
      <c:valAx>
        <c:axId val="211456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92916"/>
        <c:crosses val="autoZero"/>
        <c:crossBetween val="midCat"/>
        <c:dispUnits/>
      </c:valAx>
      <c:valAx>
        <c:axId val="5609291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14562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'132-135'!$A$8:$A$24</c:f>
              <c:numCache/>
            </c:numRef>
          </c:xVal>
          <c:yVal>
            <c:numRef>
              <c:f>'132-135'!$B$8:$B$24</c:f>
              <c:numCache/>
            </c:numRef>
          </c:yVal>
          <c:smooth val="0"/>
        </c:ser>
        <c:axId val="35074197"/>
        <c:axId val="47232318"/>
      </c:scatterChart>
      <c:valAx>
        <c:axId val="35074197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disueltas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232318"/>
        <c:crosses val="autoZero"/>
        <c:crossBetween val="midCat"/>
        <c:dispUnits/>
      </c:valAx>
      <c:valAx>
        <c:axId val="472323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7419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'132-135'!$A$34:$A$49</c:f>
              <c:numCache/>
            </c:numRef>
          </c:xVal>
          <c:yVal>
            <c:numRef>
              <c:f>'132-135'!$B$34:$B$49</c:f>
              <c:numCache/>
            </c:numRef>
          </c:yVal>
          <c:smooth val="0"/>
        </c:ser>
        <c:axId val="22437679"/>
        <c:axId val="612520"/>
      </c:scatterChart>
      <c:valAx>
        <c:axId val="22437679"/>
        <c:scaling>
          <c:orientation val="minMax"/>
          <c:max val="1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 disuelats (mg l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0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2520"/>
        <c:crosses val="autoZero"/>
        <c:crossBetween val="midCat"/>
        <c:dispUnits/>
      </c:valAx>
      <c:valAx>
        <c:axId val="61252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43767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'132-135'!$A$59:$A$75</c:f>
              <c:numCache/>
            </c:numRef>
          </c:xVal>
          <c:yVal>
            <c:numRef>
              <c:f>'132-135'!$B$59:$B$75</c:f>
              <c:numCache/>
            </c:numRef>
          </c:yVal>
          <c:smooth val="0"/>
        </c:ser>
        <c:axId val="5512681"/>
        <c:axId val="49614130"/>
      </c:scatterChart>
      <c:valAx>
        <c:axId val="5512681"/>
        <c:scaling>
          <c:orientation val="minMax"/>
          <c:max val="4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614130"/>
        <c:crosses val="autoZero"/>
        <c:crossBetween val="midCat"/>
        <c:dispUnits/>
      </c:valAx>
      <c:valAx>
        <c:axId val="4961413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12681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2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'132-135'!$A$85:$A$100</c:f>
              <c:numCache/>
            </c:numRef>
          </c:xVal>
          <c:yVal>
            <c:numRef>
              <c:f>'132-135'!$B$85:$B$100</c:f>
              <c:numCache/>
            </c:numRef>
          </c:yVal>
          <c:smooth val="0"/>
        </c:ser>
        <c:axId val="43873987"/>
        <c:axId val="59321564"/>
      </c:scatterChart>
      <c:valAx>
        <c:axId val="43873987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Conductividad (dS m</a:t>
                </a:r>
                <a:r>
                  <a:rPr lang="en-US" cap="none" sz="8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1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21564"/>
        <c:crosses val="autoZero"/>
        <c:crossBetween val="midCat"/>
        <c:dispUnits/>
      </c:valAx>
      <c:valAx>
        <c:axId val="593215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873987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'136'!$A$8:$A$24</c:f>
              <c:numCache/>
            </c:numRef>
          </c:xVal>
          <c:yVal>
            <c:numRef>
              <c:f>'136'!$B$8:$B$24</c:f>
              <c:numCache/>
            </c:numRef>
          </c:yVal>
          <c:smooth val="0"/>
        </c:ser>
        <c:axId val="64132029"/>
        <c:axId val="40317350"/>
      </c:scatterChart>
      <c:valAx>
        <c:axId val="64132029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Jackson</a:t>
                </a:r>
              </a:p>
            </c:rich>
          </c:tx>
          <c:layout>
            <c:manualLayout>
              <c:xMode val="edge"/>
              <c:yMode val="edge"/>
              <c:x val="0.436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317350"/>
        <c:crosses val="autoZero"/>
        <c:crossBetween val="midCat"/>
        <c:dispUnits/>
      </c:valAx>
      <c:valAx>
        <c:axId val="4031735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132029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image" Target="../media/image19.emf" /><Relationship Id="rId7" Type="http://schemas.openxmlformats.org/officeDocument/2006/relationships/chart" Target="/xl/charts/chart4.xml" /><Relationship Id="rId8" Type="http://schemas.openxmlformats.org/officeDocument/2006/relationships/image" Target="../media/image2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image" Target="../media/image6.emf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image" Target="../media/image2.emf" /><Relationship Id="rId3" Type="http://schemas.openxmlformats.org/officeDocument/2006/relationships/chart" Target="/xl/charts/chart25.xml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5.emf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6.emf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Relationship Id="rId3" Type="http://schemas.openxmlformats.org/officeDocument/2006/relationships/chart" Target="/xl/charts/chart13.xml" /><Relationship Id="rId4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9.emf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0.emf" /><Relationship Id="rId6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chart" Target="/xl/charts/chart20.xml" /><Relationship Id="rId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200025</xdr:colOff>
      <xdr:row>2</xdr:row>
      <xdr:rowOff>0</xdr:rowOff>
    </xdr:from>
    <xdr:to>
      <xdr:col>1</xdr:col>
      <xdr:colOff>2409825</xdr:colOff>
      <xdr:row>3</xdr:row>
      <xdr:rowOff>9525</xdr:rowOff>
    </xdr:to>
    <xdr:pic>
      <xdr:nvPicPr>
        <xdr:cNvPr id="512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62000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19</xdr:row>
      <xdr:rowOff>152400</xdr:rowOff>
    </xdr:from>
    <xdr:to>
      <xdr:col>5</xdr:col>
      <xdr:colOff>0</xdr:colOff>
      <xdr:row>32</xdr:row>
      <xdr:rowOff>0</xdr:rowOff>
    </xdr:to>
    <xdr:grpSp>
      <xdr:nvGrpSpPr>
        <xdr:cNvPr id="17" name="16 Grupo"/>
        <xdr:cNvGrpSpPr/>
      </xdr:nvGrpSpPr>
      <xdr:grpSpPr>
        <a:xfrm>
          <a:off x="4429125" y="4762500"/>
          <a:ext cx="4543425" cy="1952625"/>
          <a:chOff x="4429125" y="4762500"/>
          <a:chExt cx="4543425" cy="1952625"/>
        </a:xfrm>
      </xdr:grpSpPr>
      <xdr:sp macro="" fLocksText="0" textlink="">
        <xdr:nvSpPr>
          <xdr:cNvPr id="5122" name="Text Box 2"/>
          <xdr:cNvSpPr txBox="1">
            <a:spLocks noChangeArrowheads="1"/>
          </xdr:cNvSpPr>
        </xdr:nvSpPr>
        <xdr:spPr bwMode="auto">
          <a:xfrm>
            <a:off x="4429125" y="4762500"/>
            <a:ext cx="4543425" cy="1952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un río no modificado tiene siempre el caudal idóneo.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5125" name="Picture 5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55250" y="5495711"/>
            <a:ext cx="4428704" cy="52379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41</xdr:row>
      <xdr:rowOff>0</xdr:rowOff>
    </xdr:from>
    <xdr:to>
      <xdr:col>5</xdr:col>
      <xdr:colOff>0</xdr:colOff>
      <xdr:row>54</xdr:row>
      <xdr:rowOff>0</xdr:rowOff>
    </xdr:to>
    <xdr:graphicFrame macro="">
      <xdr:nvGraphicFramePr>
        <xdr:cNvPr id="5127" name="Chart 7"/>
        <xdr:cNvGraphicFramePr/>
      </xdr:nvGraphicFramePr>
      <xdr:xfrm>
        <a:off x="4429125" y="97059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200025</xdr:colOff>
      <xdr:row>36</xdr:row>
      <xdr:rowOff>0</xdr:rowOff>
    </xdr:from>
    <xdr:to>
      <xdr:col>1</xdr:col>
      <xdr:colOff>2409825</xdr:colOff>
      <xdr:row>37</xdr:row>
      <xdr:rowOff>9525</xdr:rowOff>
    </xdr:to>
    <xdr:pic>
      <xdr:nvPicPr>
        <xdr:cNvPr id="51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14525" y="780097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53</xdr:row>
      <xdr:rowOff>152400</xdr:rowOff>
    </xdr:from>
    <xdr:to>
      <xdr:col>5</xdr:col>
      <xdr:colOff>0</xdr:colOff>
      <xdr:row>66</xdr:row>
      <xdr:rowOff>0</xdr:rowOff>
    </xdr:to>
    <xdr:grpSp>
      <xdr:nvGrpSpPr>
        <xdr:cNvPr id="18" name="17 Grupo"/>
        <xdr:cNvGrpSpPr/>
      </xdr:nvGrpSpPr>
      <xdr:grpSpPr>
        <a:xfrm>
          <a:off x="4429125" y="11801475"/>
          <a:ext cx="4543425" cy="1952625"/>
          <a:chOff x="4429125" y="11801475"/>
          <a:chExt cx="4543425" cy="1952625"/>
        </a:xfrm>
      </xdr:grpSpPr>
      <xdr:sp macro="" fLocksText="0" textlink="">
        <xdr:nvSpPr>
          <xdr:cNvPr id="5126" name="Text Box 6"/>
          <xdr:cNvSpPr txBox="1">
            <a:spLocks noChangeArrowheads="1"/>
          </xdr:cNvSpPr>
        </xdr:nvSpPr>
        <xdr:spPr bwMode="auto">
          <a:xfrm>
            <a:off x="4429125" y="11801475"/>
            <a:ext cx="4543425" cy="1952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un río no modificado tiene siempre el caudal idóneo.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100</a:t>
            </a:r>
          </a:p>
        </xdr:txBody>
      </xdr:sp>
      <xdr:pic>
        <xdr:nvPicPr>
          <xdr:cNvPr id="5129" name="Picture 9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76831" y="12534686"/>
            <a:ext cx="4428704" cy="52379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88</xdr:row>
      <xdr:rowOff>0</xdr:rowOff>
    </xdr:to>
    <xdr:graphicFrame macro="">
      <xdr:nvGraphicFramePr>
        <xdr:cNvPr id="5131" name="Chart 11"/>
        <xdr:cNvGraphicFramePr/>
      </xdr:nvGraphicFramePr>
      <xdr:xfrm>
        <a:off x="4429125" y="1674495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87</xdr:row>
      <xdr:rowOff>152400</xdr:rowOff>
    </xdr:from>
    <xdr:to>
      <xdr:col>5</xdr:col>
      <xdr:colOff>0</xdr:colOff>
      <xdr:row>97</xdr:row>
      <xdr:rowOff>0</xdr:rowOff>
    </xdr:to>
    <xdr:grpSp>
      <xdr:nvGrpSpPr>
        <xdr:cNvPr id="19" name="18 Grupo"/>
        <xdr:cNvGrpSpPr/>
      </xdr:nvGrpSpPr>
      <xdr:grpSpPr>
        <a:xfrm>
          <a:off x="4429125" y="18840450"/>
          <a:ext cx="4543425" cy="1466850"/>
          <a:chOff x="4429125" y="18840450"/>
          <a:chExt cx="4543425" cy="1466850"/>
        </a:xfrm>
      </xdr:grpSpPr>
      <xdr:sp macro="" fLocksText="0" textlink="">
        <xdr:nvSpPr>
          <xdr:cNvPr id="5130" name="Text Box 10"/>
          <xdr:cNvSpPr txBox="1">
            <a:spLocks noChangeArrowheads="1"/>
          </xdr:cNvSpPr>
        </xdr:nvSpPr>
        <xdr:spPr bwMode="auto">
          <a:xfrm>
            <a:off x="4429125" y="18840450"/>
            <a:ext cx="4543425" cy="14668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1.1.5.1 DINAMICA DE CAUCES.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Cambios en la localización y forma de los cursos fluviales y de la red de drenaje o de escorrentía superficial en general.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depende del caudal de descarga del cauce: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1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total de elementos de la red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3" name="Picture 13"/>
          <xdr:cNvPicPr preferRelativeResize="1">
            <a:picLocks noChangeAspect="1"/>
          </xdr:cNvPicPr>
        </xdr:nvPicPr>
        <xdr:blipFill>
          <a:blip r:embed="rId3"/>
          <a:srcRect r="19581" b="21528"/>
          <a:stretch>
            <a:fillRect/>
          </a:stretch>
        </xdr:blipFill>
        <xdr:spPr bwMode="auto">
          <a:xfrm>
            <a:off x="4476831" y="19573875"/>
            <a:ext cx="4428704" cy="524032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266700</xdr:colOff>
      <xdr:row>70</xdr:row>
      <xdr:rowOff>0</xdr:rowOff>
    </xdr:from>
    <xdr:to>
      <xdr:col>1</xdr:col>
      <xdr:colOff>2295525</xdr:colOff>
      <xdr:row>71</xdr:row>
      <xdr:rowOff>9525</xdr:rowOff>
    </xdr:to>
    <xdr:pic>
      <xdr:nvPicPr>
        <xdr:cNvPr id="513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981200" y="14839950"/>
          <a:ext cx="20288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118</xdr:row>
      <xdr:rowOff>152400</xdr:rowOff>
    </xdr:from>
    <xdr:to>
      <xdr:col>5</xdr:col>
      <xdr:colOff>0</xdr:colOff>
      <xdr:row>125</xdr:row>
      <xdr:rowOff>0</xdr:rowOff>
    </xdr:to>
    <xdr:sp macro="" fLocksText="0" textlink="">
      <xdr:nvSpPr>
        <xdr:cNvPr id="5135" name="Text Box 15"/>
        <xdr:cNvSpPr txBox="1">
          <a:spLocks noChangeArrowheads="1"/>
        </xdr:cNvSpPr>
      </xdr:nvSpPr>
      <xdr:spPr bwMode="auto">
        <a:xfrm>
          <a:off x="4429125" y="25393650"/>
          <a:ext cx="4543425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1.1.5.1 DINAMICA DE CAUCES.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 de los cursos fluviales y de la red de drenaje o de escorrentía superficial en general.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0</xdr:colOff>
      <xdr:row>119</xdr:row>
      <xdr:rowOff>0</xdr:rowOff>
    </xdr:to>
    <xdr:graphicFrame macro="">
      <xdr:nvGraphicFramePr>
        <xdr:cNvPr id="5136" name="Chart 16"/>
        <xdr:cNvGraphicFramePr/>
      </xdr:nvGraphicFramePr>
      <xdr:xfrm>
        <a:off x="4429125" y="23298150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1</xdr:col>
      <xdr:colOff>28575</xdr:colOff>
      <xdr:row>101</xdr:row>
      <xdr:rowOff>0</xdr:rowOff>
    </xdr:from>
    <xdr:to>
      <xdr:col>1</xdr:col>
      <xdr:colOff>2543175</xdr:colOff>
      <xdr:row>102</xdr:row>
      <xdr:rowOff>9525</xdr:rowOff>
    </xdr:to>
    <xdr:pic>
      <xdr:nvPicPr>
        <xdr:cNvPr id="513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43075" y="21393150"/>
          <a:ext cx="25146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180975</xdr:rowOff>
    </xdr:from>
    <xdr:to>
      <xdr:col>5</xdr:col>
      <xdr:colOff>0</xdr:colOff>
      <xdr:row>28</xdr:row>
      <xdr:rowOff>0</xdr:rowOff>
    </xdr:to>
    <xdr:sp macro="" fLocksText="0" textlink="">
      <xdr:nvSpPr>
        <xdr:cNvPr id="14337" name="Text Box 1"/>
        <xdr:cNvSpPr txBox="1">
          <a:spLocks noChangeArrowheads="1"/>
        </xdr:cNvSpPr>
      </xdr:nvSpPr>
      <xdr:spPr bwMode="auto">
        <a:xfrm>
          <a:off x="4429125" y="5133975"/>
          <a:ext cx="4543425" cy="1533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Desplazamiento o pérdida de materiales superficiales del suelo por efecto de los agentes atmosféricos. Los niveles tolerables son:</a:t>
          </a: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4 a 6 en suelos arenosos poco profundos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 6 a 8 en suelos arenosos arcillosos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y 12,5 en suelos arcillosos profundos y fértiles.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usa cuando el efecto es distinto según la zona y se mide el promedio en n zonas homogéneas.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4338" name="Chart 2"/>
        <xdr:cNvGraphicFramePr/>
      </xdr:nvGraphicFramePr>
      <xdr:xfrm>
        <a:off x="4429125" y="2667000"/>
        <a:ext cx="45434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571500</xdr:colOff>
      <xdr:row>2</xdr:row>
      <xdr:rowOff>0</xdr:rowOff>
    </xdr:from>
    <xdr:to>
      <xdr:col>1</xdr:col>
      <xdr:colOff>2162175</xdr:colOff>
      <xdr:row>3</xdr:row>
      <xdr:rowOff>19050</xdr:rowOff>
    </xdr:to>
    <xdr:pic>
      <xdr:nvPicPr>
        <xdr:cNvPr id="14341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86000" y="762000"/>
          <a:ext cx="159067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180975</xdr:rowOff>
    </xdr:from>
    <xdr:to>
      <xdr:col>5</xdr:col>
      <xdr:colOff>0</xdr:colOff>
      <xdr:row>54</xdr:row>
      <xdr:rowOff>0</xdr:rowOff>
    </xdr:to>
    <xdr:sp macro="" fLocksText="0" textlink="">
      <xdr:nvSpPr>
        <xdr:cNvPr id="14342" name="Text Box 6"/>
        <xdr:cNvSpPr txBox="1">
          <a:spLocks noChangeArrowheads="1"/>
        </xdr:cNvSpPr>
      </xdr:nvSpPr>
      <xdr:spPr bwMode="auto">
        <a:xfrm>
          <a:off x="4429125" y="12182475"/>
          <a:ext cx="4543425" cy="7715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1.1.5.A EROSIÓN.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Arrastre de materiales del suelo por el viento. El nivel aceptable es hasta 0,7 e inaceptable por encima de 5.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4343" name="Chart 7"/>
        <xdr:cNvGraphicFramePr/>
      </xdr:nvGraphicFramePr>
      <xdr:xfrm>
        <a:off x="4429125" y="9715500"/>
        <a:ext cx="45434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161925</xdr:rowOff>
    </xdr:from>
    <xdr:to>
      <xdr:col>5</xdr:col>
      <xdr:colOff>0</xdr:colOff>
      <xdr:row>26</xdr:row>
      <xdr:rowOff>0</xdr:rowOff>
    </xdr:to>
    <xdr:sp macro="" fLocksText="0" textlink="">
      <xdr:nvSpPr>
        <xdr:cNvPr id="15361" name="Text Box 1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1.1.5.B DEPOSICIÓN: SEDIMENTACIÓN Y PRECIPITACIÓN.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Acumulación de materiales desplazados o en suspensión en el aire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Son zonas sensibles, entre otras, las albuferas, zonas húmedas y los puertos.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Dep =Volumen de deposición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536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2</xdr:row>
      <xdr:rowOff>0</xdr:rowOff>
    </xdr:from>
    <xdr:to>
      <xdr:col>1</xdr:col>
      <xdr:colOff>2447925</xdr:colOff>
      <xdr:row>3</xdr:row>
      <xdr:rowOff>0</xdr:rowOff>
    </xdr:to>
    <xdr:pic>
      <xdr:nvPicPr>
        <xdr:cNvPr id="153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43100" y="762000"/>
          <a:ext cx="22193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6385" name="Text Box 1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1.1.5.C ESTABILIDAD: DESLIZAMIENTOS, DESPRENDIMIENTOS.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Susceptibilidad del terreno en cuanto a deslizamientos, desprendimientos, hundimientos y, en general, aquellos riesgos de naturaleza geológica capaces de ocasionar pérdidas en vidas humanas o daños materiales.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expresa como superficie afectada multiplicada por un coeficiente que dependa de la gravedad del mismo y que varía entre 0 y 100: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Riesgo = superficie x C</a:t>
          </a:r>
          <a:r>
            <a:rPr lang="es-ES" sz="8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gravedad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638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2</xdr:row>
      <xdr:rowOff>0</xdr:rowOff>
    </xdr:from>
    <xdr:to>
      <xdr:col>1</xdr:col>
      <xdr:colOff>2257425</xdr:colOff>
      <xdr:row>3</xdr:row>
      <xdr:rowOff>0</xdr:rowOff>
    </xdr:to>
    <xdr:pic>
      <xdr:nvPicPr>
        <xdr:cNvPr id="1638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62175" y="762000"/>
          <a:ext cx="18097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6390" name="Chart 6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123825</xdr:colOff>
      <xdr:row>32</xdr:row>
      <xdr:rowOff>0</xdr:rowOff>
    </xdr:from>
    <xdr:to>
      <xdr:col>1</xdr:col>
      <xdr:colOff>2619375</xdr:colOff>
      <xdr:row>33</xdr:row>
      <xdr:rowOff>0</xdr:rowOff>
    </xdr:to>
    <xdr:pic>
      <xdr:nvPicPr>
        <xdr:cNvPr id="1639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38325" y="7153275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63</xdr:row>
      <xdr:rowOff>0</xdr:rowOff>
    </xdr:to>
    <xdr:grpSp>
      <xdr:nvGrpSpPr>
        <xdr:cNvPr id="9" name="8 Grupo"/>
        <xdr:cNvGrpSpPr/>
      </xdr:nvGrpSpPr>
      <xdr:grpSpPr>
        <a:xfrm>
          <a:off x="4429125" y="11163300"/>
          <a:ext cx="4543425" cy="2105025"/>
          <a:chOff x="4429125" y="11163300"/>
          <a:chExt cx="4543425" cy="2105025"/>
        </a:xfrm>
      </xdr:grpSpPr>
      <xdr:sp macro="" fLocksText="0" textlink="">
        <xdr:nvSpPr>
          <xdr:cNvPr id="16389" name="Text Box 5"/>
          <xdr:cNvSpPr txBox="1">
            <a:spLocks noChangeArrowheads="1"/>
          </xdr:cNvSpPr>
        </xdr:nvSpPr>
        <xdr:spPr bwMode="auto">
          <a:xfrm>
            <a:off x="4429125" y="11163300"/>
            <a:ext cx="4543425" cy="21050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 PROCESOS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Relaciones entre los elementos del medio inerte.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1.1.5.C ESTABILIDAD: DESLIZAMIENTOS, DESPRENDIMIENTOS.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Susceptibilidad del terreno en cuanto a deslizamientos, desprendimientos, hundimientos y, en general, aquellos riesgos de naturaleza geológica capaces de ocasionar pérdidas en vidas humanas o daños materiales.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riesgo se expresa como superficie afectada multiplicada por un coeficiente que dependa de la gravedad del mismo y que varía entre 0 y 100:         Riesgo = superficie x C</a:t>
            </a:r>
            <a:r>
              <a:rPr lang="es-ES" sz="8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gravedad</a:t>
            </a: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Cd es un coeficiente de daño potencial que toma los siguientes valores: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6393" name="Picture 9"/>
          <xdr:cNvPicPr preferRelativeResize="1">
            <a:picLocks noChangeAspect="1"/>
          </xdr:cNvPicPr>
        </xdr:nvPicPr>
        <xdr:blipFill>
          <a:blip r:embed="rId5"/>
          <a:srcRect r="23791" b="25387"/>
          <a:stretch>
            <a:fillRect/>
          </a:stretch>
        </xdr:blipFill>
        <xdr:spPr bwMode="auto">
          <a:xfrm>
            <a:off x="4476831" y="12248967"/>
            <a:ext cx="4304895" cy="42837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 macro="" fLocksText="0" textlink="">
      <xdr:nvSpPr>
        <xdr:cNvPr id="17409" name="Text Box 1"/>
        <xdr:cNvSpPr txBox="1">
          <a:spLocks noChangeArrowheads="1"/>
        </xdr:cNvSpPr>
      </xdr:nvSpPr>
      <xdr:spPr bwMode="auto">
        <a:xfrm>
          <a:off x="4429125" y="4772025"/>
          <a:ext cx="4543425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1.1.5.D COMPACTACIÓN Y ASIENTO.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Proceso de apelmazamiento del suelo. Se mide como la presión que es necesario realizar para introducir un objeto una determinada profundidad.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741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76200</xdr:colOff>
      <xdr:row>2</xdr:row>
      <xdr:rowOff>0</xdr:rowOff>
    </xdr:from>
    <xdr:to>
      <xdr:col>1</xdr:col>
      <xdr:colOff>2628900</xdr:colOff>
      <xdr:row>2</xdr:row>
      <xdr:rowOff>342900</xdr:rowOff>
    </xdr:to>
    <xdr:pic>
      <xdr:nvPicPr>
        <xdr:cNvPr id="1741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90700" y="762000"/>
          <a:ext cx="255270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6145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concentración de sales disueltas según n zonas homogéneas.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614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866775</xdr:colOff>
      <xdr:row>1</xdr:row>
      <xdr:rowOff>371475</xdr:rowOff>
    </xdr:from>
    <xdr:to>
      <xdr:col>1</xdr:col>
      <xdr:colOff>1714500</xdr:colOff>
      <xdr:row>3</xdr:row>
      <xdr:rowOff>9525</xdr:rowOff>
    </xdr:to>
    <xdr:pic>
      <xdr:nvPicPr>
        <xdr:cNvPr id="614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52475"/>
          <a:ext cx="8477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49</xdr:row>
      <xdr:rowOff>0</xdr:rowOff>
    </xdr:to>
    <xdr:sp macro="" fLocksText="0" textlink="">
      <xdr:nvSpPr>
        <xdr:cNvPr id="6148" name="Text Box 4"/>
        <xdr:cNvSpPr txBox="1">
          <a:spLocks noChangeArrowheads="1"/>
        </xdr:cNvSpPr>
      </xdr:nvSpPr>
      <xdr:spPr bwMode="auto">
        <a:xfrm>
          <a:off x="4429125" y="10506075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6149" name="Chart 5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70</xdr:row>
      <xdr:rowOff>152400</xdr:rowOff>
    </xdr:from>
    <xdr:to>
      <xdr:col>5</xdr:col>
      <xdr:colOff>0</xdr:colOff>
      <xdr:row>75</xdr:row>
      <xdr:rowOff>0</xdr:rowOff>
    </xdr:to>
    <xdr:sp macro="" fLocksText="0" textlink="">
      <xdr:nvSpPr>
        <xdr:cNvPr id="6151" name="Text Box 7"/>
        <xdr:cNvSpPr txBox="1">
          <a:spLocks noChangeArrowheads="1"/>
        </xdr:cNvSpPr>
      </xdr:nvSpPr>
      <xdr:spPr bwMode="auto">
        <a:xfrm>
          <a:off x="4429125" y="160877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mide el valor promedio de la conductividad según zonas homogéneas</a:t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5</xdr:col>
      <xdr:colOff>0</xdr:colOff>
      <xdr:row>71</xdr:row>
      <xdr:rowOff>0</xdr:rowOff>
    </xdr:to>
    <xdr:graphicFrame macro="">
      <xdr:nvGraphicFramePr>
        <xdr:cNvPr id="6152" name="Chart 8"/>
        <xdr:cNvGraphicFramePr/>
      </xdr:nvGraphicFramePr>
      <xdr:xfrm>
        <a:off x="4429125" y="139922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885825</xdr:colOff>
      <xdr:row>53</xdr:row>
      <xdr:rowOff>0</xdr:rowOff>
    </xdr:from>
    <xdr:to>
      <xdr:col>1</xdr:col>
      <xdr:colOff>1657350</xdr:colOff>
      <xdr:row>54</xdr:row>
      <xdr:rowOff>19050</xdr:rowOff>
    </xdr:to>
    <xdr:pic>
      <xdr:nvPicPr>
        <xdr:cNvPr id="615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600325" y="12087225"/>
          <a:ext cx="771525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96</xdr:row>
      <xdr:rowOff>152400</xdr:rowOff>
    </xdr:from>
    <xdr:to>
      <xdr:col>5</xdr:col>
      <xdr:colOff>0</xdr:colOff>
      <xdr:row>100</xdr:row>
      <xdr:rowOff>0</xdr:rowOff>
    </xdr:to>
    <xdr:sp macro="" fLocksText="0" textlink="">
      <xdr:nvSpPr>
        <xdr:cNvPr id="6154" name="Text Box 10"/>
        <xdr:cNvSpPr txBox="1">
          <a:spLocks noChangeArrowheads="1"/>
        </xdr:cNvSpPr>
      </xdr:nvSpPr>
      <xdr:spPr bwMode="auto">
        <a:xfrm>
          <a:off x="4429125" y="218313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1.1.5.2 SALINIZACION.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cantidad de sales en el suelo o en el agua.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5</xdr:col>
      <xdr:colOff>0</xdr:colOff>
      <xdr:row>97</xdr:row>
      <xdr:rowOff>0</xdr:rowOff>
    </xdr:to>
    <xdr:graphicFrame macro="">
      <xdr:nvGraphicFramePr>
        <xdr:cNvPr id="6155" name="Chart 11"/>
        <xdr:cNvGraphicFramePr/>
      </xdr:nvGraphicFramePr>
      <xdr:xfrm>
        <a:off x="4429125" y="197358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716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1.1.5.3 TRANSPORTE DE SOLIDOS.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Desplazamiento de materiales sólidos en suspensión o arrastrados. Se mide la turbidez del agua mediante un turbidímetro que mide la transmisión de la luz a través del agua, en unidades Jackson.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7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23</xdr:row>
      <xdr:rowOff>0</xdr:rowOff>
    </xdr:to>
    <xdr:sp macro="" fLocksText="0" textlink="">
      <xdr:nvSpPr>
        <xdr:cNvPr id="8193" name="Text Box 1"/>
        <xdr:cNvSpPr txBox="1">
          <a:spLocks noChangeArrowheads="1"/>
        </xdr:cNvSpPr>
      </xdr:nvSpPr>
      <xdr:spPr bwMode="auto">
        <a:xfrm>
          <a:off x="4429125" y="4762500"/>
          <a:ext cx="4543425" cy="4953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1.1.5.4 EUTROFIZACIÓN.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Aumento de la producción de algas y otros seres vivos en el agua, por excesivo aporte de nutrientes, en particular fósforo.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31</xdr:row>
      <xdr:rowOff>0</xdr:rowOff>
    </xdr:to>
    <xdr:sp macro="" fLocksText="0" textlink="">
      <xdr:nvSpPr>
        <xdr:cNvPr id="9217" name="Text Box 1"/>
        <xdr:cNvSpPr txBox="1">
          <a:spLocks noChangeArrowheads="1"/>
        </xdr:cNvSpPr>
      </xdr:nvSpPr>
      <xdr:spPr bwMode="auto">
        <a:xfrm>
          <a:off x="4429125" y="4762500"/>
          <a:ext cx="4543425" cy="1790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1.1.5.5 INCENDIOS.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Riesgo de combustión de los materiales existentes en el territorio.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8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85725</xdr:colOff>
      <xdr:row>21</xdr:row>
      <xdr:rowOff>133350</xdr:rowOff>
    </xdr:from>
    <xdr:to>
      <xdr:col>4</xdr:col>
      <xdr:colOff>1352550</xdr:colOff>
      <xdr:row>28</xdr:row>
      <xdr:rowOff>114300</xdr:rowOff>
    </xdr:to>
    <xdr:pic>
      <xdr:nvPicPr>
        <xdr:cNvPr id="9223" name="Picture 7"/>
        <xdr:cNvPicPr preferRelativeResize="1">
          <a:picLocks noChangeAspect="1"/>
        </xdr:cNvPicPr>
      </xdr:nvPicPr>
      <xdr:blipFill>
        <a:blip r:embed="rId2"/>
        <a:srcRect r="22187" b="11486"/>
        <a:stretch>
          <a:fillRect/>
        </a:stretch>
      </xdr:blipFill>
      <xdr:spPr bwMode="auto">
        <a:xfrm>
          <a:off x="4514850" y="5067300"/>
          <a:ext cx="4295775" cy="1114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0241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2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133350</xdr:colOff>
      <xdr:row>2</xdr:row>
      <xdr:rowOff>28575</xdr:rowOff>
    </xdr:from>
    <xdr:to>
      <xdr:col>1</xdr:col>
      <xdr:colOff>2543175</xdr:colOff>
      <xdr:row>2</xdr:row>
      <xdr:rowOff>352425</xdr:rowOff>
    </xdr:to>
    <xdr:pic>
      <xdr:nvPicPr>
        <xdr:cNvPr id="102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47850" y="790575"/>
          <a:ext cx="240982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0245" name="Text Box 5"/>
        <xdr:cNvSpPr txBox="1">
          <a:spLocks noChangeArrowheads="1"/>
        </xdr:cNvSpPr>
      </xdr:nvSpPr>
      <xdr:spPr bwMode="auto">
        <a:xfrm>
          <a:off x="4429125" y="1050607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1.1.5.6 DINÁMICA LITORAL.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Cambios en la localización y formas de las riberas marinas. Como área se debe considerar todo el sistema playa/duna a los que se afecte considerando dunas, playas emergidas y playas sumergidas.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0246" name="Chart 6"/>
        <xdr:cNvGraphicFramePr/>
      </xdr:nvGraphicFramePr>
      <xdr:xfrm>
        <a:off x="4429125" y="84105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466725</xdr:colOff>
      <xdr:row>27</xdr:row>
      <xdr:rowOff>0</xdr:rowOff>
    </xdr:from>
    <xdr:to>
      <xdr:col>1</xdr:col>
      <xdr:colOff>2247900</xdr:colOff>
      <xdr:row>27</xdr:row>
      <xdr:rowOff>352425</xdr:rowOff>
    </xdr:to>
    <xdr:pic>
      <xdr:nvPicPr>
        <xdr:cNvPr id="1024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181225" y="6124575"/>
          <a:ext cx="17811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25</xdr:row>
      <xdr:rowOff>0</xdr:rowOff>
    </xdr:to>
    <xdr:sp macro="" fLocksText="0" textlink="">
      <xdr:nvSpPr>
        <xdr:cNvPr id="11265" name="Text Box 1"/>
        <xdr:cNvSpPr txBox="1">
          <a:spLocks noChangeArrowheads="1"/>
        </xdr:cNvSpPr>
      </xdr:nvSpPr>
      <xdr:spPr bwMode="auto">
        <a:xfrm>
          <a:off x="4429125" y="4762500"/>
          <a:ext cx="4543425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1.1.5.7 RECARGA DE ACUÍFEROS.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Cantidad de agua aportada al acuífero en hm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3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año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6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466725</xdr:colOff>
      <xdr:row>1</xdr:row>
      <xdr:rowOff>0</xdr:rowOff>
    </xdr:from>
    <xdr:to>
      <xdr:col>1</xdr:col>
      <xdr:colOff>2381250</xdr:colOff>
      <xdr:row>2</xdr:row>
      <xdr:rowOff>0</xdr:rowOff>
    </xdr:to>
    <xdr:pic>
      <xdr:nvPicPr>
        <xdr:cNvPr id="1126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81225" y="381000"/>
          <a:ext cx="191452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24</xdr:row>
      <xdr:rowOff>0</xdr:rowOff>
    </xdr:to>
    <xdr:sp macro="" fLocksText="0" textlink="">
      <xdr:nvSpPr>
        <xdr:cNvPr id="12289" name="Text Box 1"/>
        <xdr:cNvSpPr txBox="1">
          <a:spLocks noChangeArrowheads="1"/>
        </xdr:cNvSpPr>
      </xdr:nvSpPr>
      <xdr:spPr bwMode="auto">
        <a:xfrm>
          <a:off x="4429125" y="47625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90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657225</xdr:colOff>
      <xdr:row>2</xdr:row>
      <xdr:rowOff>0</xdr:rowOff>
    </xdr:from>
    <xdr:to>
      <xdr:col>1</xdr:col>
      <xdr:colOff>1924050</xdr:colOff>
      <xdr:row>3</xdr:row>
      <xdr:rowOff>0</xdr:rowOff>
    </xdr:to>
    <xdr:pic>
      <xdr:nvPicPr>
        <xdr:cNvPr id="1229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76200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45</xdr:row>
      <xdr:rowOff>152400</xdr:rowOff>
    </xdr:from>
    <xdr:to>
      <xdr:col>5</xdr:col>
      <xdr:colOff>0</xdr:colOff>
      <xdr:row>50</xdr:row>
      <xdr:rowOff>0</xdr:rowOff>
    </xdr:to>
    <xdr:sp macro="" fLocksText="0" textlink="">
      <xdr:nvSpPr>
        <xdr:cNvPr id="12293" name="Text Box 5"/>
        <xdr:cNvSpPr txBox="1">
          <a:spLocks noChangeArrowheads="1"/>
        </xdr:cNvSpPr>
      </xdr:nvSpPr>
      <xdr:spPr bwMode="auto">
        <a:xfrm>
          <a:off x="4429125" y="1053465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0</xdr:rowOff>
    </xdr:to>
    <xdr:graphicFrame macro="">
      <xdr:nvGraphicFramePr>
        <xdr:cNvPr id="12294" name="Chart 6"/>
        <xdr:cNvGraphicFramePr/>
      </xdr:nvGraphicFramePr>
      <xdr:xfrm>
        <a:off x="4429125" y="843915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657225</xdr:colOff>
      <xdr:row>28</xdr:row>
      <xdr:rowOff>0</xdr:rowOff>
    </xdr:from>
    <xdr:to>
      <xdr:col>1</xdr:col>
      <xdr:colOff>1924050</xdr:colOff>
      <xdr:row>29</xdr:row>
      <xdr:rowOff>0</xdr:rowOff>
    </xdr:to>
    <xdr:pic>
      <xdr:nvPicPr>
        <xdr:cNvPr id="1229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71725" y="6534150"/>
          <a:ext cx="12668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71</xdr:row>
      <xdr:rowOff>152400</xdr:rowOff>
    </xdr:from>
    <xdr:to>
      <xdr:col>5</xdr:col>
      <xdr:colOff>0</xdr:colOff>
      <xdr:row>76</xdr:row>
      <xdr:rowOff>0</xdr:rowOff>
    </xdr:to>
    <xdr:sp macro="" fLocksText="0" textlink="">
      <xdr:nvSpPr>
        <xdr:cNvPr id="12296" name="Text Box 8"/>
        <xdr:cNvSpPr txBox="1">
          <a:spLocks noChangeArrowheads="1"/>
        </xdr:cNvSpPr>
      </xdr:nvSpPr>
      <xdr:spPr bwMode="auto">
        <a:xfrm>
          <a:off x="4429125" y="16278225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5</xdr:col>
      <xdr:colOff>0</xdr:colOff>
      <xdr:row>72</xdr:row>
      <xdr:rowOff>0</xdr:rowOff>
    </xdr:to>
    <xdr:graphicFrame macro="">
      <xdr:nvGraphicFramePr>
        <xdr:cNvPr id="12297" name="Chart 9"/>
        <xdr:cNvGraphicFramePr/>
      </xdr:nvGraphicFramePr>
      <xdr:xfrm>
        <a:off x="4429125" y="1418272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457200</xdr:colOff>
      <xdr:row>54</xdr:row>
      <xdr:rowOff>0</xdr:rowOff>
    </xdr:from>
    <xdr:to>
      <xdr:col>1</xdr:col>
      <xdr:colOff>2247900</xdr:colOff>
      <xdr:row>54</xdr:row>
      <xdr:rowOff>352425</xdr:rowOff>
    </xdr:to>
    <xdr:pic>
      <xdr:nvPicPr>
        <xdr:cNvPr id="1229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2277725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152400</xdr:rowOff>
    </xdr:from>
    <xdr:to>
      <xdr:col>5</xdr:col>
      <xdr:colOff>0</xdr:colOff>
      <xdr:row>102</xdr:row>
      <xdr:rowOff>0</xdr:rowOff>
    </xdr:to>
    <xdr:sp macro="" fLocksText="0" textlink="">
      <xdr:nvSpPr>
        <xdr:cNvPr id="12300" name="Text Box 12"/>
        <xdr:cNvSpPr txBox="1">
          <a:spLocks noChangeArrowheads="1"/>
        </xdr:cNvSpPr>
      </xdr:nvSpPr>
      <xdr:spPr bwMode="auto">
        <a:xfrm>
          <a:off x="4429125" y="22021800"/>
          <a:ext cx="4543425" cy="6572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1.1.5.8 DRENAJE SUPERFICIAL.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Red de evacuación de agua por escorrentía.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5</xdr:col>
      <xdr:colOff>0</xdr:colOff>
      <xdr:row>98</xdr:row>
      <xdr:rowOff>0</xdr:rowOff>
    </xdr:to>
    <xdr:graphicFrame macro="">
      <xdr:nvGraphicFramePr>
        <xdr:cNvPr id="12301" name="Chart 13"/>
        <xdr:cNvGraphicFramePr/>
      </xdr:nvGraphicFramePr>
      <xdr:xfrm>
        <a:off x="4429125" y="1992630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2247900</xdr:colOff>
      <xdr:row>80</xdr:row>
      <xdr:rowOff>352425</xdr:rowOff>
    </xdr:to>
    <xdr:pic>
      <xdr:nvPicPr>
        <xdr:cNvPr id="12303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71700" y="18021300"/>
          <a:ext cx="1790700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152400</xdr:rowOff>
    </xdr:from>
    <xdr:to>
      <xdr:col>5</xdr:col>
      <xdr:colOff>0</xdr:colOff>
      <xdr:row>28</xdr:row>
      <xdr:rowOff>0</xdr:rowOff>
    </xdr:to>
    <xdr:sp macro="" fLocksText="0" textlink="">
      <xdr:nvSpPr>
        <xdr:cNvPr id="13313" name="Text Box 1"/>
        <xdr:cNvSpPr txBox="1">
          <a:spLocks noChangeArrowheads="1"/>
        </xdr:cNvSpPr>
      </xdr:nvSpPr>
      <xdr:spPr bwMode="auto">
        <a:xfrm>
          <a:off x="4429125" y="4762500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4" name="Chart 2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2619375</xdr:colOff>
      <xdr:row>3</xdr:row>
      <xdr:rowOff>0</xdr:rowOff>
    </xdr:to>
    <xdr:pic>
      <xdr:nvPicPr>
        <xdr:cNvPr id="133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38325" y="762000"/>
          <a:ext cx="24955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180975</xdr:colOff>
      <xdr:row>23</xdr:row>
      <xdr:rowOff>142875</xdr:rowOff>
    </xdr:from>
    <xdr:to>
      <xdr:col>4</xdr:col>
      <xdr:colOff>1304925</xdr:colOff>
      <xdr:row>26</xdr:row>
      <xdr:rowOff>85725</xdr:rowOff>
    </xdr:to>
    <xdr:pic>
      <xdr:nvPicPr>
        <xdr:cNvPr id="13318" name="Picture 6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5400675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49</xdr:row>
      <xdr:rowOff>152400</xdr:rowOff>
    </xdr:from>
    <xdr:to>
      <xdr:col>5</xdr:col>
      <xdr:colOff>0</xdr:colOff>
      <xdr:row>58</xdr:row>
      <xdr:rowOff>0</xdr:rowOff>
    </xdr:to>
    <xdr:sp macro="" fLocksText="0" textlink="">
      <xdr:nvSpPr>
        <xdr:cNvPr id="13319" name="Text Box 7"/>
        <xdr:cNvSpPr txBox="1">
          <a:spLocks noChangeArrowheads="1"/>
        </xdr:cNvSpPr>
      </xdr:nvSpPr>
      <xdr:spPr bwMode="auto">
        <a:xfrm>
          <a:off x="4429125" y="11153775"/>
          <a:ext cx="4543425" cy="13049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 PROCESOS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Relaciones entre los elementos del medio inerte.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1.1.5.9 INUNDACIONES.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Introducción y permanencia del agua en una zona por superarse la capacidad de drenaje externo e interno. El riesgo de inundaciones se mide en unidades de superficie, y se pondera según la zona mediante el daño potencial (Cd).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332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180975</xdr:colOff>
      <xdr:row>53</xdr:row>
      <xdr:rowOff>142875</xdr:rowOff>
    </xdr:from>
    <xdr:to>
      <xdr:col>4</xdr:col>
      <xdr:colOff>1304925</xdr:colOff>
      <xdr:row>56</xdr:row>
      <xdr:rowOff>85725</xdr:rowOff>
    </xdr:to>
    <xdr:pic>
      <xdr:nvPicPr>
        <xdr:cNvPr id="13322" name="Picture 10"/>
        <xdr:cNvPicPr preferRelativeResize="1">
          <a:picLocks noChangeAspect="1"/>
        </xdr:cNvPicPr>
      </xdr:nvPicPr>
      <xdr:blipFill>
        <a:blip r:embed="rId3"/>
        <a:srcRect r="23791" b="25387"/>
        <a:stretch>
          <a:fillRect/>
        </a:stretch>
      </xdr:blipFill>
      <xdr:spPr bwMode="auto">
        <a:xfrm>
          <a:off x="4610100" y="11791950"/>
          <a:ext cx="41529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32</xdr:row>
      <xdr:rowOff>28575</xdr:rowOff>
    </xdr:from>
    <xdr:to>
      <xdr:col>1</xdr:col>
      <xdr:colOff>2695575</xdr:colOff>
      <xdr:row>32</xdr:row>
      <xdr:rowOff>371475</xdr:rowOff>
    </xdr:to>
    <xdr:pic>
      <xdr:nvPicPr>
        <xdr:cNvPr id="13323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7181850"/>
          <a:ext cx="26955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1" sqref="B21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132</v>
      </c>
      <c r="B1" t="s">
        <v>133</v>
      </c>
    </row>
    <row r="3" spans="1:2" ht="12.75">
      <c r="A3" t="s">
        <v>134</v>
      </c>
      <c r="B3" t="s">
        <v>135</v>
      </c>
    </row>
    <row r="4" ht="12.75">
      <c r="B4" t="s">
        <v>136</v>
      </c>
    </row>
    <row r="5" ht="12.75">
      <c r="B5" t="s">
        <v>137</v>
      </c>
    </row>
    <row r="6" ht="12.75">
      <c r="B6" t="s">
        <v>138</v>
      </c>
    </row>
    <row r="8" spans="1:2" ht="12.75">
      <c r="A8" t="s">
        <v>139</v>
      </c>
      <c r="B8" t="s">
        <v>140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146</v>
      </c>
      <c r="C1" s="14" t="s">
        <v>5</v>
      </c>
      <c r="D1" s="15" t="s">
        <v>32</v>
      </c>
      <c r="E1" s="16" t="s">
        <v>94</v>
      </c>
    </row>
    <row r="2" spans="1:5" ht="30" customHeight="1">
      <c r="A2" s="17" t="s">
        <v>2</v>
      </c>
      <c r="B2" s="1" t="s">
        <v>96</v>
      </c>
      <c r="C2" s="2"/>
      <c r="D2" s="3" t="s">
        <v>95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rango",IF(D5&lt;=0,1,IF(D5&lt;=100,(-0.0001*(D5^2))+1,"valor del indicador fuera de rango")))</f>
        <v>0.99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2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f t="shared" si="0"/>
        <v>10</v>
      </c>
      <c r="B19" s="25">
        <f aca="true" t="shared" si="1" ref="B19:B28">-0.0001*A19^2+1</f>
        <v>0.99</v>
      </c>
      <c r="C19" s="44"/>
      <c r="D19" s="69"/>
      <c r="E19" s="74"/>
    </row>
    <row r="20" spans="1:5" ht="12.95" customHeight="1">
      <c r="A20" s="45">
        <f t="shared" si="0"/>
        <v>20</v>
      </c>
      <c r="B20" s="25">
        <f t="shared" si="1"/>
        <v>0.96</v>
      </c>
      <c r="C20" s="44"/>
      <c r="D20" s="69"/>
      <c r="E20" s="74"/>
    </row>
    <row r="21" spans="1:5" ht="12.95" customHeight="1">
      <c r="A21" s="45">
        <f t="shared" si="0"/>
        <v>30</v>
      </c>
      <c r="B21" s="25">
        <f t="shared" si="1"/>
        <v>0.91</v>
      </c>
      <c r="C21" s="44"/>
      <c r="D21" s="69"/>
      <c r="E21" s="74"/>
    </row>
    <row r="22" spans="1:5" ht="12.95" customHeight="1">
      <c r="A22" s="45">
        <f t="shared" si="0"/>
        <v>40</v>
      </c>
      <c r="B22" s="25">
        <f t="shared" si="1"/>
        <v>0.84</v>
      </c>
      <c r="C22" s="44"/>
      <c r="D22" s="69"/>
      <c r="E22" s="74"/>
    </row>
    <row r="23" spans="1:5" ht="12.95" customHeight="1">
      <c r="A23" s="45">
        <f t="shared" si="0"/>
        <v>50</v>
      </c>
      <c r="B23" s="25">
        <f t="shared" si="1"/>
        <v>0.75</v>
      </c>
      <c r="C23" s="44"/>
      <c r="D23" s="69"/>
      <c r="E23" s="74"/>
    </row>
    <row r="24" spans="1:5" ht="12.95" customHeight="1">
      <c r="A24" s="45">
        <f t="shared" si="0"/>
        <v>60</v>
      </c>
      <c r="B24" s="25">
        <f t="shared" si="1"/>
        <v>0.6399999999999999</v>
      </c>
      <c r="C24" s="44"/>
      <c r="D24" s="69"/>
      <c r="E24" s="74"/>
    </row>
    <row r="25" spans="1:5" ht="12.95" customHeight="1">
      <c r="A25" s="45">
        <f t="shared" si="0"/>
        <v>70</v>
      </c>
      <c r="B25" s="25">
        <f t="shared" si="1"/>
        <v>0.51</v>
      </c>
      <c r="C25" s="44"/>
      <c r="D25" s="69"/>
      <c r="E25" s="74"/>
    </row>
    <row r="26" spans="1:5" ht="12.95" customHeight="1">
      <c r="A26" s="45">
        <f t="shared" si="0"/>
        <v>80</v>
      </c>
      <c r="B26" s="25">
        <f t="shared" si="1"/>
        <v>0.36</v>
      </c>
      <c r="C26" s="44"/>
      <c r="D26" s="69"/>
      <c r="E26" s="74"/>
    </row>
    <row r="27" spans="1:5" ht="12.95" customHeight="1">
      <c r="A27" s="45">
        <f t="shared" si="0"/>
        <v>90</v>
      </c>
      <c r="B27" s="25">
        <f t="shared" si="1"/>
        <v>0.18999999999999995</v>
      </c>
      <c r="C27" s="44"/>
      <c r="D27" s="69"/>
      <c r="E27" s="74"/>
    </row>
    <row r="28" spans="1:5" ht="12.95" customHeight="1" thickBot="1">
      <c r="A28" s="100">
        <f t="shared" si="0"/>
        <v>100</v>
      </c>
      <c r="B28" s="34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147</v>
      </c>
      <c r="C31" s="14" t="s">
        <v>5</v>
      </c>
      <c r="D31" s="15" t="s">
        <v>98</v>
      </c>
      <c r="E31" s="16" t="s">
        <v>99</v>
      </c>
    </row>
    <row r="32" spans="1:5" ht="30" customHeight="1">
      <c r="A32" s="17" t="s">
        <v>2</v>
      </c>
      <c r="B32" s="1" t="s">
        <v>97</v>
      </c>
      <c r="C32" s="105"/>
      <c r="D32" s="106" t="s">
        <v>100</v>
      </c>
      <c r="E32" s="18" t="s">
        <v>101</v>
      </c>
    </row>
    <row r="33" spans="1:5" ht="30" customHeight="1">
      <c r="A33" s="17" t="s">
        <v>10</v>
      </c>
      <c r="B33" s="1"/>
      <c r="C33" s="2"/>
      <c r="D33" s="3" t="s">
        <v>98</v>
      </c>
      <c r="E33" s="107" t="s">
        <v>102</v>
      </c>
    </row>
    <row r="34" spans="1:5" ht="30" customHeight="1" thickBot="1">
      <c r="A34" s="17" t="s">
        <v>3</v>
      </c>
      <c r="B34" s="1"/>
      <c r="C34" s="5"/>
      <c r="D34" s="108"/>
      <c r="E34" s="19"/>
    </row>
    <row r="35" spans="1:5" ht="30" customHeight="1">
      <c r="A35" s="17" t="s">
        <v>4</v>
      </c>
      <c r="B35" s="1" t="s">
        <v>78</v>
      </c>
      <c r="C35" s="8" t="s">
        <v>6</v>
      </c>
      <c r="D35" s="10">
        <v>10</v>
      </c>
      <c r="E35" s="21"/>
    </row>
    <row r="36" spans="1:5" ht="30" customHeight="1" thickBot="1">
      <c r="A36" s="20" t="s">
        <v>11</v>
      </c>
      <c r="B36" s="26" t="s">
        <v>129</v>
      </c>
      <c r="C36" s="9" t="s">
        <v>0</v>
      </c>
      <c r="D36" s="11">
        <f>IF(D35&lt;-100,"valor del indicador fuera de rango",IF(D35&lt;=-50,0.0002*D35^2+0.04*D35+2,IF(D35&lt;=50,-0.0002*D35^2+1,IF(D35&lt;=100,0.0002*D35^2-0.04*D35+2,"valor del indicador fuera de rango"))))</f>
        <v>0.98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f aca="true" t="shared" si="2" ref="B38:B43">0.0002*A38^2+0.04*A38+2</f>
        <v>0</v>
      </c>
      <c r="C38" s="69"/>
      <c r="D38" s="69"/>
      <c r="E38" s="74"/>
    </row>
    <row r="39" spans="1:5" ht="12.95" customHeight="1">
      <c r="A39" s="43">
        <f>+A38+10</f>
        <v>-90</v>
      </c>
      <c r="B39" s="24">
        <f t="shared" si="2"/>
        <v>0.020000000000000018</v>
      </c>
      <c r="C39" s="44"/>
      <c r="D39" s="69"/>
      <c r="E39" s="74"/>
    </row>
    <row r="40" spans="1:5" ht="12.95" customHeight="1">
      <c r="A40" s="43">
        <f aca="true" t="shared" si="3" ref="A40:A58">+A39+10</f>
        <v>-80</v>
      </c>
      <c r="B40" s="24">
        <f t="shared" si="2"/>
        <v>0.07999999999999985</v>
      </c>
      <c r="C40" s="44"/>
      <c r="D40" s="69"/>
      <c r="E40" s="74"/>
    </row>
    <row r="41" spans="1:5" ht="12.95" customHeight="1">
      <c r="A41" s="43">
        <f t="shared" si="3"/>
        <v>-70</v>
      </c>
      <c r="B41" s="24">
        <f t="shared" si="2"/>
        <v>0.17999999999999972</v>
      </c>
      <c r="C41" s="44"/>
      <c r="D41" s="69"/>
      <c r="E41" s="74"/>
    </row>
    <row r="42" spans="1:5" ht="12.95" customHeight="1">
      <c r="A42" s="43">
        <f t="shared" si="3"/>
        <v>-60</v>
      </c>
      <c r="B42" s="24">
        <f t="shared" si="2"/>
        <v>0.3200000000000003</v>
      </c>
      <c r="C42" s="44"/>
      <c r="D42" s="69"/>
      <c r="E42" s="74"/>
    </row>
    <row r="43" spans="1:5" ht="12.95" customHeight="1">
      <c r="A43" s="43">
        <f t="shared" si="3"/>
        <v>-50</v>
      </c>
      <c r="B43" s="24">
        <f t="shared" si="2"/>
        <v>0.5</v>
      </c>
      <c r="C43" s="44"/>
      <c r="D43" s="69"/>
      <c r="E43" s="74"/>
    </row>
    <row r="44" spans="1:5" ht="12.95" customHeight="1">
      <c r="A44" s="45">
        <f t="shared" si="3"/>
        <v>-40</v>
      </c>
      <c r="B44" s="25">
        <f aca="true" t="shared" si="4" ref="B44:B53">-0.0002*A44^2+1</f>
        <v>0.6799999999999999</v>
      </c>
      <c r="C44" s="44"/>
      <c r="D44" s="69"/>
      <c r="E44" s="74"/>
    </row>
    <row r="45" spans="1:5" ht="12.95" customHeight="1">
      <c r="A45" s="45">
        <f t="shared" si="3"/>
        <v>-30</v>
      </c>
      <c r="B45" s="25">
        <f t="shared" si="4"/>
        <v>0.82</v>
      </c>
      <c r="C45" s="44"/>
      <c r="D45" s="69"/>
      <c r="E45" s="74"/>
    </row>
    <row r="46" spans="1:5" ht="12.95" customHeight="1">
      <c r="A46" s="45">
        <f t="shared" si="3"/>
        <v>-20</v>
      </c>
      <c r="B46" s="25">
        <f t="shared" si="4"/>
        <v>0.92</v>
      </c>
      <c r="C46" s="44"/>
      <c r="D46" s="69"/>
      <c r="E46" s="74"/>
    </row>
    <row r="47" spans="1:5" ht="12.95" customHeight="1">
      <c r="A47" s="45">
        <f t="shared" si="3"/>
        <v>-10</v>
      </c>
      <c r="B47" s="25">
        <f t="shared" si="4"/>
        <v>0.98</v>
      </c>
      <c r="C47" s="44"/>
      <c r="D47" s="69"/>
      <c r="E47" s="74"/>
    </row>
    <row r="48" spans="1:5" ht="12.95" customHeight="1">
      <c r="A48" s="45">
        <f t="shared" si="3"/>
        <v>0</v>
      </c>
      <c r="B48" s="25">
        <f t="shared" si="4"/>
        <v>1</v>
      </c>
      <c r="C48" s="44"/>
      <c r="D48" s="69"/>
      <c r="E48" s="74"/>
    </row>
    <row r="49" spans="1:5" ht="12.95" customHeight="1">
      <c r="A49" s="45">
        <f t="shared" si="3"/>
        <v>10</v>
      </c>
      <c r="B49" s="25">
        <f t="shared" si="4"/>
        <v>0.98</v>
      </c>
      <c r="C49" s="44"/>
      <c r="D49" s="69"/>
      <c r="E49" s="74"/>
    </row>
    <row r="50" spans="1:5" ht="12.95" customHeight="1">
      <c r="A50" s="45">
        <f t="shared" si="3"/>
        <v>20</v>
      </c>
      <c r="B50" s="25">
        <f t="shared" si="4"/>
        <v>0.92</v>
      </c>
      <c r="C50" s="44"/>
      <c r="D50" s="69"/>
      <c r="E50" s="74"/>
    </row>
    <row r="51" spans="1:5" ht="12.95" customHeight="1">
      <c r="A51" s="45">
        <f t="shared" si="3"/>
        <v>30</v>
      </c>
      <c r="B51" s="25">
        <f t="shared" si="4"/>
        <v>0.82</v>
      </c>
      <c r="C51" s="44"/>
      <c r="D51" s="69"/>
      <c r="E51" s="74"/>
    </row>
    <row r="52" spans="1:5" ht="12.95" customHeight="1">
      <c r="A52" s="45">
        <f t="shared" si="3"/>
        <v>40</v>
      </c>
      <c r="B52" s="25">
        <f t="shared" si="4"/>
        <v>0.6799999999999999</v>
      </c>
      <c r="C52" s="44"/>
      <c r="D52" s="69"/>
      <c r="E52" s="74"/>
    </row>
    <row r="53" spans="1:5" ht="12.95" customHeight="1">
      <c r="A53" s="45">
        <f t="shared" si="3"/>
        <v>50</v>
      </c>
      <c r="B53" s="25">
        <f t="shared" si="4"/>
        <v>0.5</v>
      </c>
      <c r="C53" s="44"/>
      <c r="D53" s="69"/>
      <c r="E53" s="74"/>
    </row>
    <row r="54" spans="1:5" ht="12.95" customHeight="1">
      <c r="A54" s="47">
        <f t="shared" si="3"/>
        <v>60</v>
      </c>
      <c r="B54" s="28">
        <f>0.0002*A54^2-0.04*A54+2</f>
        <v>0.3200000000000003</v>
      </c>
      <c r="C54" s="44"/>
      <c r="D54" s="69"/>
      <c r="E54" s="74"/>
    </row>
    <row r="55" spans="1:5" ht="12.95" customHeight="1">
      <c r="A55" s="47">
        <f t="shared" si="3"/>
        <v>70</v>
      </c>
      <c r="B55" s="28">
        <f>0.0002*A55^2-0.04*A55+2</f>
        <v>0.17999999999999972</v>
      </c>
      <c r="C55" s="44"/>
      <c r="D55" s="69"/>
      <c r="E55" s="74"/>
    </row>
    <row r="56" spans="1:5" ht="12.95" customHeight="1">
      <c r="A56" s="47">
        <f t="shared" si="3"/>
        <v>80</v>
      </c>
      <c r="B56" s="28">
        <f>0.0002*A56^2-0.04*A56+2</f>
        <v>0.07999999999999985</v>
      </c>
      <c r="C56" s="44"/>
      <c r="D56" s="69"/>
      <c r="E56" s="74"/>
    </row>
    <row r="57" spans="1:5" ht="12.95" customHeight="1">
      <c r="A57" s="47">
        <f t="shared" si="3"/>
        <v>90</v>
      </c>
      <c r="B57" s="28">
        <f>0.0002*A57^2-0.04*A57+2</f>
        <v>0.020000000000000018</v>
      </c>
      <c r="C57" s="44"/>
      <c r="D57" s="69"/>
      <c r="E57" s="74"/>
    </row>
    <row r="58" spans="1:5" ht="12.95" customHeight="1" thickBot="1">
      <c r="A58" s="48">
        <f t="shared" si="3"/>
        <v>100</v>
      </c>
      <c r="B58" s="33">
        <f>0.0002*A58^2-0.04*A58+2</f>
        <v>0</v>
      </c>
      <c r="C58" s="49"/>
      <c r="D58" s="75"/>
      <c r="E58" s="76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B6" sqref="B6"/>
    </sheetView>
  </sheetViews>
  <sheetFormatPr defaultColWidth="11.421875" defaultRowHeight="1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148</v>
      </c>
      <c r="C1" s="14" t="s">
        <v>5</v>
      </c>
      <c r="D1" s="15" t="s">
        <v>105</v>
      </c>
      <c r="E1" s="16" t="s">
        <v>60</v>
      </c>
    </row>
    <row r="2" spans="1:5" ht="30" customHeight="1">
      <c r="A2" s="17" t="s">
        <v>2</v>
      </c>
      <c r="B2" s="1" t="s">
        <v>103</v>
      </c>
      <c r="C2" s="105"/>
      <c r="D2" s="106" t="s">
        <v>106</v>
      </c>
      <c r="E2" s="18" t="s">
        <v>61</v>
      </c>
    </row>
    <row r="3" spans="1:5" ht="30" customHeight="1">
      <c r="A3" s="17" t="s">
        <v>10</v>
      </c>
      <c r="B3" s="1"/>
      <c r="C3" s="2"/>
      <c r="D3" s="3" t="s">
        <v>1</v>
      </c>
      <c r="E3" s="107" t="s">
        <v>107</v>
      </c>
    </row>
    <row r="4" spans="1:5" ht="30" customHeight="1" thickBot="1">
      <c r="A4" s="17" t="s">
        <v>3</v>
      </c>
      <c r="B4" s="1" t="s">
        <v>108</v>
      </c>
      <c r="C4" s="5"/>
      <c r="D4" s="108"/>
      <c r="E4" s="19"/>
    </row>
    <row r="5" spans="1:5" ht="30" customHeight="1">
      <c r="A5" s="17" t="s">
        <v>4</v>
      </c>
      <c r="B5" s="1" t="s">
        <v>104</v>
      </c>
      <c r="C5" s="8" t="s">
        <v>6</v>
      </c>
      <c r="D5" s="10">
        <v>40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rango",IF(D5&lt;=5,-0.006*D5^2+1,IF(D5&lt;=25,0.00213*D5^2-0.106*D5+1.33,IF(D5&lt;=100,0,"valor del indicador fuera de rango"))))</f>
        <v>0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5" customHeight="1">
      <c r="A8" s="109">
        <v>0</v>
      </c>
      <c r="B8" s="24">
        <f>-0.006*A8^2+1</f>
        <v>1</v>
      </c>
      <c r="C8" s="69"/>
      <c r="D8" s="69"/>
      <c r="E8" s="74"/>
    </row>
    <row r="9" spans="1:5" ht="15" customHeight="1">
      <c r="A9" s="109">
        <v>2</v>
      </c>
      <c r="B9" s="24">
        <f>-0.006*A9^2+1</f>
        <v>0.976</v>
      </c>
      <c r="C9" s="44"/>
      <c r="D9" s="69"/>
      <c r="E9" s="74"/>
    </row>
    <row r="10" spans="1:5" ht="15" customHeight="1">
      <c r="A10" s="109">
        <v>4</v>
      </c>
      <c r="B10" s="24">
        <f>-0.006*A10^2+1</f>
        <v>0.904</v>
      </c>
      <c r="C10" s="44"/>
      <c r="D10" s="69"/>
      <c r="E10" s="74"/>
    </row>
    <row r="11" spans="1:5" ht="15" customHeight="1">
      <c r="A11" s="109">
        <v>5</v>
      </c>
      <c r="B11" s="24">
        <f>-0.006*A11^2+1</f>
        <v>0.85</v>
      </c>
      <c r="C11" s="44"/>
      <c r="D11" s="69"/>
      <c r="E11" s="74"/>
    </row>
    <row r="12" spans="1:5" ht="15" customHeight="1">
      <c r="A12" s="110">
        <v>9</v>
      </c>
      <c r="B12" s="25">
        <f aca="true" t="shared" si="0" ref="B12:B19">0.00213*A12^2-0.106*A12+1.33</f>
        <v>0.5485300000000001</v>
      </c>
      <c r="C12" s="44"/>
      <c r="D12" s="69"/>
      <c r="E12" s="74"/>
    </row>
    <row r="13" spans="1:5" ht="15" customHeight="1">
      <c r="A13" s="110">
        <f>+A12+2</f>
        <v>11</v>
      </c>
      <c r="B13" s="25">
        <f t="shared" si="0"/>
        <v>0.42173000000000016</v>
      </c>
      <c r="C13" s="44"/>
      <c r="D13" s="69"/>
      <c r="E13" s="74"/>
    </row>
    <row r="14" spans="1:5" ht="15" customHeight="1">
      <c r="A14" s="110">
        <f aca="true" t="shared" si="1" ref="A14:A20">+A13+2</f>
        <v>13</v>
      </c>
      <c r="B14" s="25">
        <f t="shared" si="0"/>
        <v>0.3119700000000001</v>
      </c>
      <c r="C14" s="44"/>
      <c r="D14" s="69"/>
      <c r="E14" s="74"/>
    </row>
    <row r="15" spans="1:5" ht="15" customHeight="1">
      <c r="A15" s="110">
        <f t="shared" si="1"/>
        <v>15</v>
      </c>
      <c r="B15" s="25">
        <f t="shared" si="0"/>
        <v>0.21925000000000017</v>
      </c>
      <c r="C15" s="44"/>
      <c r="D15" s="69"/>
      <c r="E15" s="74"/>
    </row>
    <row r="16" spans="1:5" ht="15" customHeight="1">
      <c r="A16" s="110">
        <f t="shared" si="1"/>
        <v>17</v>
      </c>
      <c r="B16" s="25">
        <f t="shared" si="0"/>
        <v>0.14356999999999998</v>
      </c>
      <c r="C16" s="44"/>
      <c r="D16" s="69"/>
      <c r="E16" s="74"/>
    </row>
    <row r="17" spans="1:5" ht="15" customHeight="1">
      <c r="A17" s="110">
        <f t="shared" si="1"/>
        <v>19</v>
      </c>
      <c r="B17" s="25">
        <f t="shared" si="0"/>
        <v>0.0849300000000004</v>
      </c>
      <c r="C17" s="44"/>
      <c r="D17" s="69"/>
      <c r="E17" s="74"/>
    </row>
    <row r="18" spans="1:5" ht="15" customHeight="1">
      <c r="A18" s="110">
        <f t="shared" si="1"/>
        <v>21</v>
      </c>
      <c r="B18" s="25">
        <f t="shared" si="0"/>
        <v>0.04333000000000009</v>
      </c>
      <c r="C18" s="44"/>
      <c r="D18" s="69"/>
      <c r="E18" s="74"/>
    </row>
    <row r="19" spans="1:5" ht="15" customHeight="1">
      <c r="A19" s="110">
        <f t="shared" si="1"/>
        <v>23</v>
      </c>
      <c r="B19" s="25">
        <f t="shared" si="0"/>
        <v>0.018770000000000397</v>
      </c>
      <c r="C19" s="44"/>
      <c r="D19" s="69"/>
      <c r="E19" s="74"/>
    </row>
    <row r="20" spans="1:5" ht="15" customHeight="1">
      <c r="A20" s="111">
        <f t="shared" si="1"/>
        <v>25</v>
      </c>
      <c r="B20" s="28">
        <v>0</v>
      </c>
      <c r="C20" s="44"/>
      <c r="D20" s="69"/>
      <c r="E20" s="74"/>
    </row>
    <row r="21" spans="1:5" ht="15" customHeight="1">
      <c r="A21" s="111">
        <v>35</v>
      </c>
      <c r="B21" s="28">
        <v>0</v>
      </c>
      <c r="C21" s="44"/>
      <c r="D21" s="69"/>
      <c r="E21" s="74"/>
    </row>
    <row r="22" spans="1:5" ht="15" customHeight="1">
      <c r="A22" s="111">
        <v>45</v>
      </c>
      <c r="B22" s="28">
        <v>0</v>
      </c>
      <c r="C22" s="44"/>
      <c r="D22" s="69"/>
      <c r="E22" s="74"/>
    </row>
    <row r="23" spans="1:5" ht="15" customHeight="1">
      <c r="A23" s="111">
        <f>+A22+10</f>
        <v>55</v>
      </c>
      <c r="B23" s="28">
        <v>0</v>
      </c>
      <c r="C23" s="44"/>
      <c r="D23" s="69"/>
      <c r="E23" s="74"/>
    </row>
    <row r="24" spans="1:5" ht="15" customHeight="1">
      <c r="A24" s="111">
        <f>+A23+10</f>
        <v>65</v>
      </c>
      <c r="B24" s="28">
        <v>0</v>
      </c>
      <c r="C24" s="44"/>
      <c r="D24" s="69"/>
      <c r="E24" s="74"/>
    </row>
    <row r="25" spans="1:5" ht="15" customHeight="1">
      <c r="A25" s="111">
        <f>+A24+10</f>
        <v>75</v>
      </c>
      <c r="B25" s="28">
        <v>0</v>
      </c>
      <c r="C25" s="44"/>
      <c r="D25" s="69"/>
      <c r="E25" s="74"/>
    </row>
    <row r="26" spans="1:5" ht="15" customHeight="1">
      <c r="A26" s="111">
        <f>+A25+10</f>
        <v>85</v>
      </c>
      <c r="B26" s="28">
        <v>0</v>
      </c>
      <c r="C26" s="44"/>
      <c r="D26" s="69"/>
      <c r="E26" s="74"/>
    </row>
    <row r="27" spans="1:5" ht="15" customHeight="1">
      <c r="A27" s="113">
        <v>95</v>
      </c>
      <c r="B27" s="28">
        <v>0</v>
      </c>
      <c r="C27" s="44"/>
      <c r="D27" s="69"/>
      <c r="E27" s="74"/>
    </row>
    <row r="28" spans="1:5" ht="15" customHeight="1" thickBot="1">
      <c r="A28" s="112">
        <v>100</v>
      </c>
      <c r="B28" s="33">
        <v>0</v>
      </c>
      <c r="C28" s="49"/>
      <c r="D28" s="75"/>
      <c r="E28" s="76"/>
    </row>
    <row r="29" ht="15" customHeight="1" thickTop="1"/>
    <row r="30" ht="15" customHeight="1" thickBot="1"/>
    <row r="31" spans="1:5" ht="30" customHeight="1" thickTop="1">
      <c r="A31" s="12" t="s">
        <v>7</v>
      </c>
      <c r="B31" s="13">
        <v>149</v>
      </c>
      <c r="C31" s="14" t="s">
        <v>5</v>
      </c>
      <c r="D31" s="15" t="s">
        <v>109</v>
      </c>
      <c r="E31" s="16" t="s">
        <v>110</v>
      </c>
    </row>
    <row r="32" spans="1:5" ht="30" customHeight="1">
      <c r="A32" s="17" t="s">
        <v>2</v>
      </c>
      <c r="B32" s="1" t="s">
        <v>111</v>
      </c>
      <c r="C32" s="105"/>
      <c r="D32" s="106" t="s">
        <v>112</v>
      </c>
      <c r="E32" s="18" t="s">
        <v>113</v>
      </c>
    </row>
    <row r="33" spans="1:5" ht="30" customHeight="1">
      <c r="A33" s="17" t="s">
        <v>10</v>
      </c>
      <c r="B33" s="1"/>
      <c r="C33" s="2"/>
      <c r="D33" s="3"/>
      <c r="E33" s="107"/>
    </row>
    <row r="34" spans="1:5" ht="30" customHeight="1" thickBot="1">
      <c r="A34" s="17" t="s">
        <v>3</v>
      </c>
      <c r="B34" s="1" t="s">
        <v>114</v>
      </c>
      <c r="C34" s="5"/>
      <c r="D34" s="108"/>
      <c r="E34" s="19"/>
    </row>
    <row r="35" spans="1:5" ht="30" customHeight="1">
      <c r="A35" s="17" t="s">
        <v>4</v>
      </c>
      <c r="B35" s="1" t="s">
        <v>66</v>
      </c>
      <c r="C35" s="8" t="s">
        <v>6</v>
      </c>
      <c r="D35" s="10">
        <v>3</v>
      </c>
      <c r="E35" s="21"/>
    </row>
    <row r="36" spans="1:5" ht="30" customHeight="1" thickBot="1">
      <c r="A36" s="20" t="s">
        <v>11</v>
      </c>
      <c r="B36" s="127" t="s">
        <v>129</v>
      </c>
      <c r="C36" s="9" t="s">
        <v>0</v>
      </c>
      <c r="D36" s="11">
        <f>IF(D35&lt;0,"valor del indicador fuera de rango",IF(D35&lt;=1.7,-0.121*D35^2+1,IF(D35&lt;=5,0.0597*D35^2-0.597*D35+1.49,"valor del indicador fuera de rango")))</f>
        <v>0.23630000000000018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5" customHeight="1">
      <c r="A38" s="109">
        <v>0</v>
      </c>
      <c r="B38" s="24">
        <f aca="true" t="shared" si="2" ref="B38:B43">-0.121*A38^2+1</f>
        <v>1</v>
      </c>
      <c r="C38" s="69"/>
      <c r="D38" s="69"/>
      <c r="E38" s="74"/>
    </row>
    <row r="39" spans="1:5" ht="15" customHeight="1">
      <c r="A39" s="114">
        <f>+A38+0.3</f>
        <v>0.3</v>
      </c>
      <c r="B39" s="24">
        <f t="shared" si="2"/>
        <v>0.98911</v>
      </c>
      <c r="C39" s="44"/>
      <c r="D39" s="69"/>
      <c r="E39" s="74"/>
    </row>
    <row r="40" spans="1:5" ht="15" customHeight="1">
      <c r="A40" s="114">
        <f aca="true" t="shared" si="3" ref="A40:A53">+A39+0.3</f>
        <v>0.6</v>
      </c>
      <c r="B40" s="24">
        <f t="shared" si="2"/>
        <v>0.95644</v>
      </c>
      <c r="C40" s="44"/>
      <c r="D40" s="69"/>
      <c r="E40" s="74"/>
    </row>
    <row r="41" spans="1:5" ht="15" customHeight="1">
      <c r="A41" s="114">
        <f t="shared" si="3"/>
        <v>0.8999999999999999</v>
      </c>
      <c r="B41" s="24">
        <f t="shared" si="2"/>
        <v>0.9019900000000001</v>
      </c>
      <c r="C41" s="44"/>
      <c r="D41" s="69"/>
      <c r="E41" s="74"/>
    </row>
    <row r="42" spans="1:5" ht="15" customHeight="1">
      <c r="A42" s="114">
        <f t="shared" si="3"/>
        <v>1.2</v>
      </c>
      <c r="B42" s="24">
        <f t="shared" si="2"/>
        <v>0.82576</v>
      </c>
      <c r="C42" s="44"/>
      <c r="D42" s="69"/>
      <c r="E42" s="74"/>
    </row>
    <row r="43" spans="1:5" ht="15" customHeight="1">
      <c r="A43" s="114">
        <f t="shared" si="3"/>
        <v>1.5</v>
      </c>
      <c r="B43" s="24">
        <f t="shared" si="2"/>
        <v>0.72775</v>
      </c>
      <c r="C43" s="44"/>
      <c r="D43" s="69"/>
      <c r="E43" s="74"/>
    </row>
    <row r="44" spans="1:5" ht="15" customHeight="1">
      <c r="A44" s="115">
        <f t="shared" si="3"/>
        <v>1.8</v>
      </c>
      <c r="B44" s="25">
        <f aca="true" t="shared" si="4" ref="B44:B53">0.0597*A44^2-0.597*A44+1.49</f>
        <v>0.608828</v>
      </c>
      <c r="C44" s="44"/>
      <c r="D44" s="69"/>
      <c r="E44" s="74"/>
    </row>
    <row r="45" spans="1:5" ht="15" customHeight="1">
      <c r="A45" s="115">
        <f t="shared" si="3"/>
        <v>2.1</v>
      </c>
      <c r="B45" s="25">
        <f t="shared" si="4"/>
        <v>0.49957699999999994</v>
      </c>
      <c r="C45" s="44"/>
      <c r="D45" s="69"/>
      <c r="E45" s="74"/>
    </row>
    <row r="46" spans="1:5" ht="15" customHeight="1">
      <c r="A46" s="115">
        <f t="shared" si="3"/>
        <v>2.4</v>
      </c>
      <c r="B46" s="25">
        <f t="shared" si="4"/>
        <v>0.4010720000000001</v>
      </c>
      <c r="C46" s="44"/>
      <c r="D46" s="69"/>
      <c r="E46" s="74"/>
    </row>
    <row r="47" spans="1:5" ht="15" customHeight="1">
      <c r="A47" s="115">
        <f t="shared" si="3"/>
        <v>2.6999999999999997</v>
      </c>
      <c r="B47" s="25">
        <f t="shared" si="4"/>
        <v>0.3133130000000002</v>
      </c>
      <c r="C47" s="44"/>
      <c r="D47" s="69"/>
      <c r="E47" s="74"/>
    </row>
    <row r="48" spans="1:5" ht="15" customHeight="1">
      <c r="A48" s="115">
        <f t="shared" si="3"/>
        <v>2.9999999999999996</v>
      </c>
      <c r="B48" s="25">
        <f t="shared" si="4"/>
        <v>0.23630000000000018</v>
      </c>
      <c r="C48" s="44"/>
      <c r="D48" s="69"/>
      <c r="E48" s="74"/>
    </row>
    <row r="49" spans="1:5" ht="15" customHeight="1">
      <c r="A49" s="115">
        <f t="shared" si="3"/>
        <v>3.2999999999999994</v>
      </c>
      <c r="B49" s="25">
        <f t="shared" si="4"/>
        <v>0.17003300000000032</v>
      </c>
      <c r="C49" s="44"/>
      <c r="D49" s="69"/>
      <c r="E49" s="74"/>
    </row>
    <row r="50" spans="1:5" ht="15" customHeight="1">
      <c r="A50" s="115">
        <f t="shared" si="3"/>
        <v>3.599999999999999</v>
      </c>
      <c r="B50" s="25">
        <f t="shared" si="4"/>
        <v>0.11451200000000017</v>
      </c>
      <c r="C50" s="44"/>
      <c r="D50" s="69"/>
      <c r="E50" s="74"/>
    </row>
    <row r="51" spans="1:5" ht="15" customHeight="1">
      <c r="A51" s="115">
        <f t="shared" si="3"/>
        <v>3.899999999999999</v>
      </c>
      <c r="B51" s="25">
        <f t="shared" si="4"/>
        <v>0.06973700000000038</v>
      </c>
      <c r="C51" s="44"/>
      <c r="D51" s="69"/>
      <c r="E51" s="74"/>
    </row>
    <row r="52" spans="1:5" ht="15" customHeight="1">
      <c r="A52" s="115">
        <f t="shared" si="3"/>
        <v>4.199999999999999</v>
      </c>
      <c r="B52" s="25">
        <f t="shared" si="4"/>
        <v>0.03570800000000007</v>
      </c>
      <c r="C52" s="44"/>
      <c r="D52" s="69"/>
      <c r="E52" s="74"/>
    </row>
    <row r="53" spans="1:5" ht="15" customHeight="1">
      <c r="A53" s="115">
        <f t="shared" si="3"/>
        <v>4.499999999999999</v>
      </c>
      <c r="B53" s="25">
        <f t="shared" si="4"/>
        <v>0.012425000000000352</v>
      </c>
      <c r="C53" s="44"/>
      <c r="D53" s="69"/>
      <c r="E53" s="74"/>
    </row>
    <row r="54" spans="1:5" ht="15" customHeight="1" thickBot="1">
      <c r="A54" s="116">
        <v>5</v>
      </c>
      <c r="B54" s="34">
        <v>0</v>
      </c>
      <c r="C54" s="49"/>
      <c r="D54" s="75"/>
      <c r="E54" s="76"/>
    </row>
    <row r="55" ht="1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150</v>
      </c>
      <c r="C1" s="14" t="s">
        <v>5</v>
      </c>
      <c r="D1" s="15" t="s">
        <v>115</v>
      </c>
      <c r="E1" s="16" t="s">
        <v>80</v>
      </c>
    </row>
    <row r="2" spans="1:5" ht="30" customHeight="1">
      <c r="A2" s="17" t="s">
        <v>2</v>
      </c>
      <c r="B2" s="1" t="s">
        <v>117</v>
      </c>
      <c r="C2" s="105"/>
      <c r="D2" s="106" t="s">
        <v>116</v>
      </c>
      <c r="E2" s="18" t="s">
        <v>12</v>
      </c>
    </row>
    <row r="3" spans="1:5" ht="30" customHeight="1">
      <c r="A3" s="17" t="s">
        <v>10</v>
      </c>
      <c r="B3" s="1"/>
      <c r="C3" s="2"/>
      <c r="D3" s="3"/>
      <c r="E3" s="107"/>
    </row>
    <row r="4" spans="1:5" ht="30" customHeight="1" thickBot="1">
      <c r="A4" s="17" t="s">
        <v>3</v>
      </c>
      <c r="B4" s="1"/>
      <c r="C4" s="5"/>
      <c r="D4" s="108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10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rango",IF(D5&lt;=0,-0.0001*D5^2+1,IF(D5&lt;=100,-0.000064*D5^2-0.0036*D5+1,"valor del indicador fuera de rango")))</f>
        <v>0.9576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f aca="true" t="shared" si="0" ref="B8:B18">-0.0001*A8^2+1</f>
        <v>0</v>
      </c>
      <c r="C8" s="69"/>
      <c r="D8" s="69"/>
      <c r="E8" s="74"/>
    </row>
    <row r="9" spans="1:5" ht="12.95" customHeight="1">
      <c r="A9" s="43">
        <f>+A8+10</f>
        <v>-90</v>
      </c>
      <c r="B9" s="24">
        <f t="shared" si="0"/>
        <v>0.18999999999999995</v>
      </c>
      <c r="C9" s="44"/>
      <c r="D9" s="69"/>
      <c r="E9" s="74"/>
    </row>
    <row r="10" spans="1:5" ht="12.95" customHeight="1">
      <c r="A10" s="43">
        <f aca="true" t="shared" si="1" ref="A10:A18">+A9+10</f>
        <v>-80</v>
      </c>
      <c r="B10" s="24">
        <f t="shared" si="0"/>
        <v>0.36</v>
      </c>
      <c r="C10" s="44"/>
      <c r="D10" s="69"/>
      <c r="E10" s="74"/>
    </row>
    <row r="11" spans="1:5" ht="12.95" customHeight="1">
      <c r="A11" s="43">
        <f t="shared" si="1"/>
        <v>-70</v>
      </c>
      <c r="B11" s="24">
        <f t="shared" si="0"/>
        <v>0.51</v>
      </c>
      <c r="C11" s="44"/>
      <c r="D11" s="69"/>
      <c r="E11" s="74"/>
    </row>
    <row r="12" spans="1:5" ht="12.95" customHeight="1">
      <c r="A12" s="43">
        <f t="shared" si="1"/>
        <v>-60</v>
      </c>
      <c r="B12" s="24">
        <f t="shared" si="0"/>
        <v>0.6399999999999999</v>
      </c>
      <c r="C12" s="44"/>
      <c r="D12" s="69"/>
      <c r="E12" s="74"/>
    </row>
    <row r="13" spans="1:5" ht="12.95" customHeight="1">
      <c r="A13" s="43">
        <f t="shared" si="1"/>
        <v>-50</v>
      </c>
      <c r="B13" s="24">
        <f t="shared" si="0"/>
        <v>0.75</v>
      </c>
      <c r="C13" s="44"/>
      <c r="D13" s="69"/>
      <c r="E13" s="74"/>
    </row>
    <row r="14" spans="1:5" ht="12.95" customHeight="1">
      <c r="A14" s="43">
        <f t="shared" si="1"/>
        <v>-40</v>
      </c>
      <c r="B14" s="24">
        <f t="shared" si="0"/>
        <v>0.84</v>
      </c>
      <c r="C14" s="44"/>
      <c r="D14" s="69"/>
      <c r="E14" s="74"/>
    </row>
    <row r="15" spans="1:5" ht="12.95" customHeight="1">
      <c r="A15" s="43">
        <f t="shared" si="1"/>
        <v>-30</v>
      </c>
      <c r="B15" s="24">
        <f t="shared" si="0"/>
        <v>0.91</v>
      </c>
      <c r="C15" s="44"/>
      <c r="D15" s="69"/>
      <c r="E15" s="74"/>
    </row>
    <row r="16" spans="1:5" ht="12.95" customHeight="1">
      <c r="A16" s="43">
        <f t="shared" si="1"/>
        <v>-20</v>
      </c>
      <c r="B16" s="24">
        <f t="shared" si="0"/>
        <v>0.96</v>
      </c>
      <c r="C16" s="44"/>
      <c r="D16" s="69"/>
      <c r="E16" s="74"/>
    </row>
    <row r="17" spans="1:5" ht="12.95" customHeight="1">
      <c r="A17" s="43">
        <f t="shared" si="1"/>
        <v>-10</v>
      </c>
      <c r="B17" s="24">
        <f t="shared" si="0"/>
        <v>0.99</v>
      </c>
      <c r="C17" s="44"/>
      <c r="D17" s="69"/>
      <c r="E17" s="74"/>
    </row>
    <row r="18" spans="1:5" ht="12.95" customHeight="1">
      <c r="A18" s="43">
        <f t="shared" si="1"/>
        <v>0</v>
      </c>
      <c r="B18" s="24">
        <f t="shared" si="0"/>
        <v>1</v>
      </c>
      <c r="C18" s="44"/>
      <c r="D18" s="69"/>
      <c r="E18" s="74"/>
    </row>
    <row r="19" spans="1:5" ht="12.95" customHeight="1">
      <c r="A19" s="45">
        <v>10</v>
      </c>
      <c r="B19" s="25">
        <f>-0.000064*(A19^2)-0.0036*A19+1</f>
        <v>0.9576</v>
      </c>
      <c r="C19" s="44"/>
      <c r="D19" s="69"/>
      <c r="E19" s="74"/>
    </row>
    <row r="20" spans="1:5" ht="12.95" customHeight="1">
      <c r="A20" s="45">
        <v>20</v>
      </c>
      <c r="B20" s="25">
        <f aca="true" t="shared" si="2" ref="B20:B26">-0.000064*(A20^2)-0.0036*A20+1</f>
        <v>0.9024</v>
      </c>
      <c r="C20" s="44"/>
      <c r="D20" s="69"/>
      <c r="E20" s="74"/>
    </row>
    <row r="21" spans="1:5" ht="12.95" customHeight="1">
      <c r="A21" s="45">
        <v>30</v>
      </c>
      <c r="B21" s="25">
        <f t="shared" si="2"/>
        <v>0.8344</v>
      </c>
      <c r="C21" s="44"/>
      <c r="D21" s="69"/>
      <c r="E21" s="74"/>
    </row>
    <row r="22" spans="1:5" ht="12.95" customHeight="1">
      <c r="A22" s="45">
        <v>40</v>
      </c>
      <c r="B22" s="25">
        <f t="shared" si="2"/>
        <v>0.7536</v>
      </c>
      <c r="C22" s="44"/>
      <c r="D22" s="69"/>
      <c r="E22" s="74"/>
    </row>
    <row r="23" spans="1:5" ht="12.95" customHeight="1">
      <c r="A23" s="45">
        <v>50</v>
      </c>
      <c r="B23" s="25">
        <f t="shared" si="2"/>
        <v>0.66</v>
      </c>
      <c r="C23" s="44"/>
      <c r="D23" s="69"/>
      <c r="E23" s="74"/>
    </row>
    <row r="24" spans="1:5" ht="12.95" customHeight="1">
      <c r="A24" s="45">
        <v>70</v>
      </c>
      <c r="B24" s="25">
        <f t="shared" si="2"/>
        <v>0.4344</v>
      </c>
      <c r="C24" s="44"/>
      <c r="D24" s="69"/>
      <c r="E24" s="74"/>
    </row>
    <row r="25" spans="1:5" ht="12.95" customHeight="1">
      <c r="A25" s="45">
        <v>90</v>
      </c>
      <c r="B25" s="25">
        <f>-0.000064*(A25^2)-0.0036*A25+1</f>
        <v>0.15759999999999996</v>
      </c>
      <c r="C25" s="44"/>
      <c r="D25" s="69"/>
      <c r="E25" s="74"/>
    </row>
    <row r="26" spans="1:5" ht="12.95" customHeight="1" thickBot="1">
      <c r="A26" s="100">
        <v>100</v>
      </c>
      <c r="B26" s="34">
        <f t="shared" si="2"/>
        <v>0</v>
      </c>
      <c r="C26" s="49"/>
      <c r="D26" s="75"/>
      <c r="E26" s="76"/>
    </row>
    <row r="27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37">
      <selection activeCell="H67" sqref="H67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151</v>
      </c>
      <c r="C1" s="14" t="s">
        <v>5</v>
      </c>
      <c r="D1" s="15" t="s">
        <v>32</v>
      </c>
      <c r="E1" s="16" t="s">
        <v>118</v>
      </c>
    </row>
    <row r="2" spans="1:5" ht="30" customHeight="1">
      <c r="A2" s="17" t="s">
        <v>2</v>
      </c>
      <c r="B2" s="1" t="s">
        <v>120</v>
      </c>
      <c r="C2" s="2"/>
      <c r="D2" s="3" t="s">
        <v>119</v>
      </c>
      <c r="E2" s="18" t="s">
        <v>12</v>
      </c>
    </row>
    <row r="3" spans="1:5" ht="30" customHeight="1">
      <c r="A3" s="17" t="s">
        <v>10</v>
      </c>
      <c r="B3" s="1"/>
      <c r="C3" s="2"/>
      <c r="D3" s="4"/>
      <c r="E3" s="18"/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78</v>
      </c>
      <c r="C5" s="8" t="s">
        <v>6</v>
      </c>
      <c r="D5" s="10">
        <v>20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rango",IF(D5&lt;=0,1,IF(D5&lt;=100,(-0.01*D5+1),"valor del indicador fuera rango")))</f>
        <v>0.8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24">
        <v>1</v>
      </c>
      <c r="C8" s="69"/>
      <c r="D8" s="69"/>
      <c r="E8" s="74"/>
    </row>
    <row r="9" spans="1:5" ht="12.95" customHeight="1">
      <c r="A9" s="43">
        <f>+A8+10</f>
        <v>-90</v>
      </c>
      <c r="B9" s="24">
        <v>1</v>
      </c>
      <c r="C9" s="44"/>
      <c r="D9" s="69"/>
      <c r="E9" s="74"/>
    </row>
    <row r="10" spans="1:5" ht="12.95" customHeight="1">
      <c r="A10" s="43">
        <f aca="true" t="shared" si="0" ref="A10:A18">+A9+10</f>
        <v>-80</v>
      </c>
      <c r="B10" s="24">
        <v>1</v>
      </c>
      <c r="C10" s="44"/>
      <c r="D10" s="69"/>
      <c r="E10" s="74"/>
    </row>
    <row r="11" spans="1:5" ht="12.95" customHeight="1">
      <c r="A11" s="43">
        <f t="shared" si="0"/>
        <v>-70</v>
      </c>
      <c r="B11" s="24">
        <v>1</v>
      </c>
      <c r="C11" s="44"/>
      <c r="D11" s="69"/>
      <c r="E11" s="74"/>
    </row>
    <row r="12" spans="1:5" ht="12.95" customHeight="1">
      <c r="A12" s="43">
        <f t="shared" si="0"/>
        <v>-60</v>
      </c>
      <c r="B12" s="24">
        <v>1</v>
      </c>
      <c r="C12" s="44"/>
      <c r="D12" s="69"/>
      <c r="E12" s="74"/>
    </row>
    <row r="13" spans="1:5" ht="12.95" customHeight="1">
      <c r="A13" s="43">
        <f t="shared" si="0"/>
        <v>-50</v>
      </c>
      <c r="B13" s="24">
        <v>1</v>
      </c>
      <c r="C13" s="44"/>
      <c r="D13" s="69"/>
      <c r="E13" s="74"/>
    </row>
    <row r="14" spans="1:5" ht="12.95" customHeight="1">
      <c r="A14" s="43">
        <f t="shared" si="0"/>
        <v>-40</v>
      </c>
      <c r="B14" s="24">
        <v>1</v>
      </c>
      <c r="C14" s="44"/>
      <c r="D14" s="69"/>
      <c r="E14" s="74"/>
    </row>
    <row r="15" spans="1:5" ht="12.95" customHeight="1">
      <c r="A15" s="43">
        <f t="shared" si="0"/>
        <v>-30</v>
      </c>
      <c r="B15" s="24">
        <v>1</v>
      </c>
      <c r="C15" s="44"/>
      <c r="D15" s="69"/>
      <c r="E15" s="74"/>
    </row>
    <row r="16" spans="1:5" ht="12.95" customHeight="1">
      <c r="A16" s="43">
        <f t="shared" si="0"/>
        <v>-20</v>
      </c>
      <c r="B16" s="24">
        <v>1</v>
      </c>
      <c r="C16" s="44"/>
      <c r="D16" s="69"/>
      <c r="E16" s="74"/>
    </row>
    <row r="17" spans="1:5" ht="12.95" customHeight="1">
      <c r="A17" s="43">
        <f t="shared" si="0"/>
        <v>-10</v>
      </c>
      <c r="B17" s="24">
        <v>1</v>
      </c>
      <c r="C17" s="44"/>
      <c r="D17" s="69"/>
      <c r="E17" s="74"/>
    </row>
    <row r="18" spans="1:5" ht="12.95" customHeight="1">
      <c r="A18" s="43">
        <f t="shared" si="0"/>
        <v>0</v>
      </c>
      <c r="B18" s="24">
        <v>1</v>
      </c>
      <c r="C18" s="44"/>
      <c r="D18" s="69"/>
      <c r="E18" s="74"/>
    </row>
    <row r="19" spans="1:5" ht="12.95" customHeight="1">
      <c r="A19" s="45">
        <v>10</v>
      </c>
      <c r="B19" s="117">
        <f aca="true" t="shared" si="1" ref="B19:B28">-0.01*A19+1</f>
        <v>0.9</v>
      </c>
      <c r="C19" s="44"/>
      <c r="D19" s="69"/>
      <c r="E19" s="74"/>
    </row>
    <row r="20" spans="1:5" ht="12.95" customHeight="1">
      <c r="A20" s="45">
        <v>20</v>
      </c>
      <c r="B20" s="117">
        <f t="shared" si="1"/>
        <v>0.8</v>
      </c>
      <c r="C20" s="44"/>
      <c r="D20" s="69"/>
      <c r="E20" s="74"/>
    </row>
    <row r="21" spans="1:5" ht="12.95" customHeight="1">
      <c r="A21" s="45">
        <v>30</v>
      </c>
      <c r="B21" s="117">
        <f t="shared" si="1"/>
        <v>0.7</v>
      </c>
      <c r="C21" s="44"/>
      <c r="D21" s="69"/>
      <c r="E21" s="74"/>
    </row>
    <row r="22" spans="1:5" ht="12.95" customHeight="1">
      <c r="A22" s="45">
        <v>40</v>
      </c>
      <c r="B22" s="117">
        <f t="shared" si="1"/>
        <v>0.6</v>
      </c>
      <c r="C22" s="44"/>
      <c r="D22" s="69"/>
      <c r="E22" s="74"/>
    </row>
    <row r="23" spans="1:5" ht="12.95" customHeight="1">
      <c r="A23" s="45">
        <v>50</v>
      </c>
      <c r="B23" s="117">
        <f t="shared" si="1"/>
        <v>0.5</v>
      </c>
      <c r="C23" s="44"/>
      <c r="D23" s="69"/>
      <c r="E23" s="74"/>
    </row>
    <row r="24" spans="1:5" ht="12.95" customHeight="1">
      <c r="A24" s="45">
        <v>60</v>
      </c>
      <c r="B24" s="117">
        <f t="shared" si="1"/>
        <v>0.4</v>
      </c>
      <c r="C24" s="44"/>
      <c r="D24" s="69"/>
      <c r="E24" s="74"/>
    </row>
    <row r="25" spans="1:5" ht="12.95" customHeight="1">
      <c r="A25" s="45">
        <v>70</v>
      </c>
      <c r="B25" s="117">
        <f t="shared" si="1"/>
        <v>0.29999999999999993</v>
      </c>
      <c r="C25" s="44"/>
      <c r="D25" s="69"/>
      <c r="E25" s="74"/>
    </row>
    <row r="26" spans="1:5" ht="12.95" customHeight="1">
      <c r="A26" s="45">
        <v>80</v>
      </c>
      <c r="B26" s="117">
        <f t="shared" si="1"/>
        <v>0.19999999999999996</v>
      </c>
      <c r="C26" s="44"/>
      <c r="D26" s="69"/>
      <c r="E26" s="74"/>
    </row>
    <row r="27" spans="1:5" ht="12.95" customHeight="1">
      <c r="A27" s="45">
        <v>90</v>
      </c>
      <c r="B27" s="117">
        <f t="shared" si="1"/>
        <v>0.09999999999999998</v>
      </c>
      <c r="C27" s="44"/>
      <c r="D27" s="69"/>
      <c r="E27" s="74"/>
    </row>
    <row r="28" spans="1:5" ht="12.95" customHeight="1" thickBot="1">
      <c r="A28" s="100">
        <v>100</v>
      </c>
      <c r="B28" s="118">
        <f t="shared" si="1"/>
        <v>0</v>
      </c>
      <c r="C28" s="49"/>
      <c r="D28" s="75"/>
      <c r="E28" s="76"/>
    </row>
    <row r="29" ht="12.95" customHeight="1" thickTop="1"/>
    <row r="30" ht="12.95" customHeight="1" thickBot="1"/>
    <row r="31" spans="1:5" ht="30" customHeight="1" thickTop="1">
      <c r="A31" s="12" t="s">
        <v>7</v>
      </c>
      <c r="B31" s="13">
        <v>152</v>
      </c>
      <c r="C31" s="14" t="s">
        <v>5</v>
      </c>
      <c r="D31" s="15" t="s">
        <v>32</v>
      </c>
      <c r="E31" s="16" t="s">
        <v>118</v>
      </c>
    </row>
    <row r="32" spans="1:5" ht="30" customHeight="1">
      <c r="A32" s="17" t="s">
        <v>2</v>
      </c>
      <c r="B32" s="1" t="s">
        <v>121</v>
      </c>
      <c r="C32" s="2"/>
      <c r="D32" s="3" t="s">
        <v>119</v>
      </c>
      <c r="E32" s="18" t="s">
        <v>12</v>
      </c>
    </row>
    <row r="33" spans="1:5" ht="30" customHeight="1">
      <c r="A33" s="17" t="s">
        <v>10</v>
      </c>
      <c r="B33" s="1"/>
      <c r="C33" s="2"/>
      <c r="D33" s="4"/>
      <c r="E33" s="18"/>
    </row>
    <row r="34" spans="1:5" ht="30" customHeight="1" thickBot="1">
      <c r="A34" s="17" t="s">
        <v>3</v>
      </c>
      <c r="B34" s="1"/>
      <c r="C34" s="5"/>
      <c r="D34" s="6"/>
      <c r="E34" s="19"/>
    </row>
    <row r="35" spans="1:5" ht="30" customHeight="1">
      <c r="A35" s="17" t="s">
        <v>4</v>
      </c>
      <c r="B35" s="1" t="s">
        <v>78</v>
      </c>
      <c r="C35" s="8" t="s">
        <v>6</v>
      </c>
      <c r="D35" s="10">
        <v>20</v>
      </c>
      <c r="E35" s="21"/>
    </row>
    <row r="36" spans="1:5" ht="30" customHeight="1" thickBot="1">
      <c r="A36" s="20" t="s">
        <v>11</v>
      </c>
      <c r="B36" s="127" t="s">
        <v>129</v>
      </c>
      <c r="C36" s="9" t="s">
        <v>0</v>
      </c>
      <c r="D36" s="11">
        <f>IF(D35&lt;-100,"valor del indicador fuera de rango",IF(D35&lt;=0,1,IF(D35&lt;=100,(-0.01*D35+1),"valor del indicador fuera rango")))</f>
        <v>0.8</v>
      </c>
      <c r="E36" s="22"/>
    </row>
    <row r="37" spans="1:5" ht="30" customHeight="1">
      <c r="A37" s="23" t="s">
        <v>9</v>
      </c>
      <c r="B37" s="7" t="s">
        <v>0</v>
      </c>
      <c r="C37" s="131" t="s">
        <v>8</v>
      </c>
      <c r="D37" s="132"/>
      <c r="E37" s="133"/>
    </row>
    <row r="38" spans="1:5" ht="12.95" customHeight="1">
      <c r="A38" s="43">
        <v>-100</v>
      </c>
      <c r="B38" s="24">
        <v>1</v>
      </c>
      <c r="C38" s="69"/>
      <c r="D38" s="69"/>
      <c r="E38" s="74"/>
    </row>
    <row r="39" spans="1:5" ht="12.95" customHeight="1">
      <c r="A39" s="43">
        <f>+A38+10</f>
        <v>-90</v>
      </c>
      <c r="B39" s="24">
        <v>1</v>
      </c>
      <c r="C39" s="44"/>
      <c r="D39" s="69"/>
      <c r="E39" s="74"/>
    </row>
    <row r="40" spans="1:5" ht="12.95" customHeight="1">
      <c r="A40" s="43">
        <f aca="true" t="shared" si="2" ref="A40:A48">+A39+10</f>
        <v>-80</v>
      </c>
      <c r="B40" s="24">
        <v>1</v>
      </c>
      <c r="C40" s="44"/>
      <c r="D40" s="69"/>
      <c r="E40" s="74"/>
    </row>
    <row r="41" spans="1:5" ht="12.95" customHeight="1">
      <c r="A41" s="43">
        <f t="shared" si="2"/>
        <v>-70</v>
      </c>
      <c r="B41" s="24">
        <v>1</v>
      </c>
      <c r="C41" s="44"/>
      <c r="D41" s="69"/>
      <c r="E41" s="74"/>
    </row>
    <row r="42" spans="1:5" ht="12.95" customHeight="1">
      <c r="A42" s="43">
        <f t="shared" si="2"/>
        <v>-60</v>
      </c>
      <c r="B42" s="24">
        <v>1</v>
      </c>
      <c r="C42" s="44"/>
      <c r="D42" s="69"/>
      <c r="E42" s="74"/>
    </row>
    <row r="43" spans="1:5" ht="12.95" customHeight="1">
      <c r="A43" s="43">
        <f t="shared" si="2"/>
        <v>-50</v>
      </c>
      <c r="B43" s="24">
        <v>1</v>
      </c>
      <c r="C43" s="44"/>
      <c r="D43" s="69"/>
      <c r="E43" s="74"/>
    </row>
    <row r="44" spans="1:5" ht="12.95" customHeight="1">
      <c r="A44" s="43">
        <f t="shared" si="2"/>
        <v>-40</v>
      </c>
      <c r="B44" s="24">
        <v>1</v>
      </c>
      <c r="C44" s="44"/>
      <c r="D44" s="69"/>
      <c r="E44" s="74"/>
    </row>
    <row r="45" spans="1:5" ht="12.95" customHeight="1">
      <c r="A45" s="43">
        <f t="shared" si="2"/>
        <v>-30</v>
      </c>
      <c r="B45" s="24">
        <v>1</v>
      </c>
      <c r="C45" s="44"/>
      <c r="D45" s="69"/>
      <c r="E45" s="74"/>
    </row>
    <row r="46" spans="1:5" ht="12.95" customHeight="1">
      <c r="A46" s="43">
        <f t="shared" si="2"/>
        <v>-20</v>
      </c>
      <c r="B46" s="24">
        <v>1</v>
      </c>
      <c r="C46" s="44"/>
      <c r="D46" s="69"/>
      <c r="E46" s="74"/>
    </row>
    <row r="47" spans="1:5" ht="12.95" customHeight="1">
      <c r="A47" s="43">
        <f t="shared" si="2"/>
        <v>-10</v>
      </c>
      <c r="B47" s="24">
        <v>1</v>
      </c>
      <c r="C47" s="44"/>
      <c r="D47" s="69"/>
      <c r="E47" s="74"/>
    </row>
    <row r="48" spans="1:5" ht="12.95" customHeight="1">
      <c r="A48" s="43">
        <f t="shared" si="2"/>
        <v>0</v>
      </c>
      <c r="B48" s="24">
        <v>1</v>
      </c>
      <c r="C48" s="44"/>
      <c r="D48" s="69"/>
      <c r="E48" s="74"/>
    </row>
    <row r="49" spans="1:5" ht="12.95" customHeight="1">
      <c r="A49" s="45">
        <v>10</v>
      </c>
      <c r="B49" s="117">
        <f aca="true" t="shared" si="3" ref="B49:B63">-0.01*A49+1</f>
        <v>0.9</v>
      </c>
      <c r="C49" s="44"/>
      <c r="D49" s="69"/>
      <c r="E49" s="74"/>
    </row>
    <row r="50" spans="1:5" ht="12.95" customHeight="1">
      <c r="A50" s="45">
        <v>20</v>
      </c>
      <c r="B50" s="117">
        <f t="shared" si="3"/>
        <v>0.8</v>
      </c>
      <c r="C50" s="44"/>
      <c r="D50" s="69"/>
      <c r="E50" s="74"/>
    </row>
    <row r="51" spans="1:5" ht="12.95" customHeight="1">
      <c r="A51" s="45">
        <v>30</v>
      </c>
      <c r="B51" s="117">
        <f t="shared" si="3"/>
        <v>0.7</v>
      </c>
      <c r="C51" s="44"/>
      <c r="D51" s="69"/>
      <c r="E51" s="74"/>
    </row>
    <row r="52" spans="1:5" ht="12.95" customHeight="1">
      <c r="A52" s="45">
        <v>40</v>
      </c>
      <c r="B52" s="117">
        <f t="shared" si="3"/>
        <v>0.6</v>
      </c>
      <c r="C52" s="44"/>
      <c r="D52" s="69"/>
      <c r="E52" s="74"/>
    </row>
    <row r="53" spans="1:5" ht="12.95" customHeight="1">
      <c r="A53" s="45">
        <v>50</v>
      </c>
      <c r="B53" s="117">
        <f t="shared" si="3"/>
        <v>0.5</v>
      </c>
      <c r="C53" s="44"/>
      <c r="D53" s="69"/>
      <c r="E53" s="74"/>
    </row>
    <row r="54" spans="1:5" ht="12.95" customHeight="1">
      <c r="A54" s="45">
        <f aca="true" t="shared" si="4" ref="A54:A63">+A53+5</f>
        <v>55</v>
      </c>
      <c r="B54" s="117">
        <f t="shared" si="3"/>
        <v>0.44999999999999996</v>
      </c>
      <c r="C54" s="44"/>
      <c r="D54" s="69"/>
      <c r="E54" s="74"/>
    </row>
    <row r="55" spans="1:5" ht="12.95" customHeight="1">
      <c r="A55" s="45">
        <f t="shared" si="4"/>
        <v>60</v>
      </c>
      <c r="B55" s="117">
        <f t="shared" si="3"/>
        <v>0.4</v>
      </c>
      <c r="C55" s="44"/>
      <c r="D55" s="69"/>
      <c r="E55" s="74"/>
    </row>
    <row r="56" spans="1:5" ht="12.95" customHeight="1">
      <c r="A56" s="45">
        <f t="shared" si="4"/>
        <v>65</v>
      </c>
      <c r="B56" s="117">
        <f t="shared" si="3"/>
        <v>0.35</v>
      </c>
      <c r="C56" s="44"/>
      <c r="D56" s="69"/>
      <c r="E56" s="74"/>
    </row>
    <row r="57" spans="1:5" ht="12.95" customHeight="1">
      <c r="A57" s="45">
        <f t="shared" si="4"/>
        <v>70</v>
      </c>
      <c r="B57" s="117">
        <f t="shared" si="3"/>
        <v>0.29999999999999993</v>
      </c>
      <c r="C57" s="44"/>
      <c r="D57" s="69"/>
      <c r="E57" s="74"/>
    </row>
    <row r="58" spans="1:5" ht="12.95" customHeight="1">
      <c r="A58" s="45">
        <f t="shared" si="4"/>
        <v>75</v>
      </c>
      <c r="B58" s="117">
        <f t="shared" si="3"/>
        <v>0.25</v>
      </c>
      <c r="C58" s="44"/>
      <c r="D58" s="69"/>
      <c r="E58" s="74"/>
    </row>
    <row r="59" spans="1:5" ht="12.95" customHeight="1">
      <c r="A59" s="45">
        <f t="shared" si="4"/>
        <v>80</v>
      </c>
      <c r="B59" s="117">
        <f t="shared" si="3"/>
        <v>0.19999999999999996</v>
      </c>
      <c r="C59" s="44"/>
      <c r="D59" s="69"/>
      <c r="E59" s="74"/>
    </row>
    <row r="60" spans="1:5" ht="12.95" customHeight="1">
      <c r="A60" s="45">
        <f t="shared" si="4"/>
        <v>85</v>
      </c>
      <c r="B60" s="117">
        <f t="shared" si="3"/>
        <v>0.15000000000000002</v>
      </c>
      <c r="C60" s="44"/>
      <c r="D60" s="69"/>
      <c r="E60" s="74"/>
    </row>
    <row r="61" spans="1:5" ht="12.95" customHeight="1">
      <c r="A61" s="45">
        <f t="shared" si="4"/>
        <v>90</v>
      </c>
      <c r="B61" s="117">
        <f t="shared" si="3"/>
        <v>0.09999999999999998</v>
      </c>
      <c r="C61" s="44"/>
      <c r="D61" s="69"/>
      <c r="E61" s="74"/>
    </row>
    <row r="62" spans="1:5" ht="12.95" customHeight="1">
      <c r="A62" s="45">
        <f t="shared" si="4"/>
        <v>95</v>
      </c>
      <c r="B62" s="117">
        <f t="shared" si="3"/>
        <v>0.04999999999999993</v>
      </c>
      <c r="C62" s="44"/>
      <c r="D62" s="69"/>
      <c r="E62" s="74"/>
    </row>
    <row r="63" spans="1:5" ht="12.95" customHeight="1" thickBot="1">
      <c r="A63" s="100">
        <f t="shared" si="4"/>
        <v>100</v>
      </c>
      <c r="B63" s="118">
        <f t="shared" si="3"/>
        <v>0</v>
      </c>
      <c r="C63" s="49"/>
      <c r="D63" s="75"/>
      <c r="E63" s="76"/>
    </row>
    <row r="64" ht="12.95" customHeight="1" thickTop="1"/>
  </sheetData>
  <mergeCells count="2">
    <mergeCell ref="C7:E7"/>
    <mergeCell ref="C37:E3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7" sqref="G7"/>
    </sheetView>
  </sheetViews>
  <sheetFormatPr defaultColWidth="11.421875" defaultRowHeight="12.75" customHeight="1"/>
  <cols>
    <col min="1" max="1" width="25.7109375" style="0" customWidth="1"/>
    <col min="2" max="2" width="40.7109375" style="0" customWidth="1"/>
    <col min="3" max="5" width="22.7109375" style="0" customWidth="1"/>
  </cols>
  <sheetData>
    <row r="1" spans="1:5" ht="30" customHeight="1" thickTop="1">
      <c r="A1" s="12" t="s">
        <v>7</v>
      </c>
      <c r="B1" s="13">
        <v>153</v>
      </c>
      <c r="C1" s="14" t="s">
        <v>5</v>
      </c>
      <c r="D1" s="15" t="s">
        <v>122</v>
      </c>
      <c r="E1" s="16" t="s">
        <v>123</v>
      </c>
    </row>
    <row r="2" spans="1:5" ht="30" customHeight="1">
      <c r="A2" s="17" t="s">
        <v>2</v>
      </c>
      <c r="B2" s="1" t="s">
        <v>124</v>
      </c>
      <c r="C2" s="2"/>
      <c r="D2" s="3" t="s">
        <v>32</v>
      </c>
      <c r="E2" s="18" t="s">
        <v>125</v>
      </c>
    </row>
    <row r="3" spans="1:5" ht="30" customHeight="1">
      <c r="A3" s="17" t="s">
        <v>10</v>
      </c>
      <c r="B3" s="1"/>
      <c r="C3" s="2"/>
      <c r="D3" s="4" t="s">
        <v>126</v>
      </c>
      <c r="E3" s="18" t="s">
        <v>127</v>
      </c>
    </row>
    <row r="4" spans="1:5" ht="30" customHeight="1" thickBot="1">
      <c r="A4" s="17" t="s">
        <v>3</v>
      </c>
      <c r="B4" s="1"/>
      <c r="C4" s="5"/>
      <c r="D4" s="6"/>
      <c r="E4" s="19"/>
    </row>
    <row r="5" spans="1:5" ht="30" customHeight="1">
      <c r="A5" s="17" t="s">
        <v>4</v>
      </c>
      <c r="B5" s="1" t="s">
        <v>128</v>
      </c>
      <c r="C5" s="8" t="s">
        <v>6</v>
      </c>
      <c r="D5" s="10">
        <v>105</v>
      </c>
      <c r="E5" s="21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rango",IF(D5&lt;=75,-0.0000889*D5^2+0.0133*D5+0.5,IF(D5&lt;=100,1,IF(D5&lt;=200,-0.0001*D5^2+0.02*D5,"valor del indicador fuera rango"))))</f>
        <v>0.9975</v>
      </c>
      <c r="E6" s="22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119">
        <v>0</v>
      </c>
      <c r="B8" s="122">
        <f aca="true" t="shared" si="0" ref="B8:B14">-0.0000889*A8^2+0.0133*A8+0.5</f>
        <v>0.5</v>
      </c>
      <c r="C8" s="69"/>
      <c r="D8" s="69"/>
      <c r="E8" s="74"/>
    </row>
    <row r="9" spans="1:5" ht="12.95" customHeight="1">
      <c r="A9" s="119">
        <v>10</v>
      </c>
      <c r="B9" s="122">
        <f t="shared" si="0"/>
        <v>0.62411</v>
      </c>
      <c r="C9" s="44"/>
      <c r="D9" s="69"/>
      <c r="E9" s="74"/>
    </row>
    <row r="10" spans="1:5" ht="12.95" customHeight="1">
      <c r="A10" s="119">
        <v>20</v>
      </c>
      <c r="B10" s="122">
        <f t="shared" si="0"/>
        <v>0.73044</v>
      </c>
      <c r="C10" s="44"/>
      <c r="D10" s="69"/>
      <c r="E10" s="74"/>
    </row>
    <row r="11" spans="1:5" ht="12.95" customHeight="1">
      <c r="A11" s="119">
        <v>30</v>
      </c>
      <c r="B11" s="122">
        <f t="shared" si="0"/>
        <v>0.8189899999999999</v>
      </c>
      <c r="C11" s="44"/>
      <c r="D11" s="69"/>
      <c r="E11" s="74"/>
    </row>
    <row r="12" spans="1:5" ht="12.95" customHeight="1">
      <c r="A12" s="119">
        <v>40</v>
      </c>
      <c r="B12" s="122">
        <f t="shared" si="0"/>
        <v>0.88976</v>
      </c>
      <c r="C12" s="44"/>
      <c r="D12" s="69"/>
      <c r="E12" s="74"/>
    </row>
    <row r="13" spans="1:5" ht="12.95" customHeight="1">
      <c r="A13" s="119">
        <v>50</v>
      </c>
      <c r="B13" s="122">
        <f t="shared" si="0"/>
        <v>0.94275</v>
      </c>
      <c r="C13" s="44"/>
      <c r="D13" s="69"/>
      <c r="E13" s="74"/>
    </row>
    <row r="14" spans="1:5" ht="12.95" customHeight="1">
      <c r="A14" s="119">
        <v>60</v>
      </c>
      <c r="B14" s="122">
        <f t="shared" si="0"/>
        <v>0.9779599999999999</v>
      </c>
      <c r="C14" s="44"/>
      <c r="D14" s="69"/>
      <c r="E14" s="74"/>
    </row>
    <row r="15" spans="1:5" ht="12.95" customHeight="1">
      <c r="A15" s="120">
        <v>70</v>
      </c>
      <c r="B15" s="123">
        <f>1</f>
        <v>1</v>
      </c>
      <c r="C15" s="44"/>
      <c r="D15" s="69"/>
      <c r="E15" s="74"/>
    </row>
    <row r="16" spans="1:5" ht="12.95" customHeight="1">
      <c r="A16" s="120">
        <v>80</v>
      </c>
      <c r="B16" s="123">
        <f>1</f>
        <v>1</v>
      </c>
      <c r="C16" s="44"/>
      <c r="D16" s="69"/>
      <c r="E16" s="74"/>
    </row>
    <row r="17" spans="1:5" ht="12.95" customHeight="1">
      <c r="A17" s="120">
        <v>90</v>
      </c>
      <c r="B17" s="123">
        <f>1</f>
        <v>1</v>
      </c>
      <c r="C17" s="44"/>
      <c r="D17" s="69"/>
      <c r="E17" s="74"/>
    </row>
    <row r="18" spans="1:5" ht="12.95" customHeight="1">
      <c r="A18" s="120">
        <v>100</v>
      </c>
      <c r="B18" s="123">
        <f>1</f>
        <v>1</v>
      </c>
      <c r="C18" s="44"/>
      <c r="D18" s="69"/>
      <c r="E18" s="74"/>
    </row>
    <row r="19" spans="1:5" ht="12.95" customHeight="1">
      <c r="A19" s="121">
        <v>120</v>
      </c>
      <c r="B19" s="124">
        <f>-0.0001*A19^2+0.02*A19</f>
        <v>0.9599999999999997</v>
      </c>
      <c r="C19" s="44"/>
      <c r="D19" s="69"/>
      <c r="E19" s="74"/>
    </row>
    <row r="20" spans="1:5" ht="12.95" customHeight="1">
      <c r="A20" s="121">
        <v>140</v>
      </c>
      <c r="B20" s="124">
        <f>-0.0001*A20^2+0.02*A20</f>
        <v>0.8400000000000001</v>
      </c>
      <c r="C20" s="44"/>
      <c r="D20" s="69"/>
      <c r="E20" s="74"/>
    </row>
    <row r="21" spans="1:5" ht="12.95" customHeight="1">
      <c r="A21" s="121">
        <v>160</v>
      </c>
      <c r="B21" s="124">
        <f>-0.0001*A21^2+0.02*A21</f>
        <v>0.6400000000000001</v>
      </c>
      <c r="C21" s="44"/>
      <c r="D21" s="69"/>
      <c r="E21" s="74"/>
    </row>
    <row r="22" spans="1:5" ht="12.95" customHeight="1">
      <c r="A22" s="121">
        <v>180</v>
      </c>
      <c r="B22" s="124">
        <f>-0.0001*A22^2+0.02*A22</f>
        <v>0.3599999999999999</v>
      </c>
      <c r="C22" s="44"/>
      <c r="D22" s="69"/>
      <c r="E22" s="74"/>
    </row>
    <row r="23" spans="1:5" ht="12.95" customHeight="1" thickBot="1">
      <c r="A23" s="125">
        <v>200</v>
      </c>
      <c r="B23" s="126">
        <f>-0.0001*A23^2+0.02*A23</f>
        <v>0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34">
      <selection activeCell="F51" sqref="F51"/>
    </sheetView>
  </sheetViews>
  <sheetFormatPr defaultColWidth="22.7109375" defaultRowHeight="12.75" customHeight="1"/>
  <cols>
    <col min="1" max="1" width="25.7109375" style="66" customWidth="1"/>
    <col min="2" max="2" width="40.7109375" style="66" customWidth="1"/>
    <col min="3" max="16384" width="22.7109375" style="66" customWidth="1"/>
  </cols>
  <sheetData>
    <row r="1" spans="1:5" ht="30" customHeight="1" thickTop="1">
      <c r="A1" s="12" t="s">
        <v>7</v>
      </c>
      <c r="B1" s="13">
        <v>128</v>
      </c>
      <c r="C1" s="14" t="s">
        <v>5</v>
      </c>
      <c r="D1" s="15" t="s">
        <v>13</v>
      </c>
      <c r="E1" s="16" t="s">
        <v>12</v>
      </c>
    </row>
    <row r="2" spans="1:5" ht="30" customHeight="1">
      <c r="A2" s="17" t="s">
        <v>2</v>
      </c>
      <c r="B2" s="1" t="s">
        <v>141</v>
      </c>
      <c r="C2" s="41"/>
      <c r="D2" s="3"/>
      <c r="E2" s="30"/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7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rango",IF(D5&lt;=100,-0.0001*D5^2+0.02*D5))</f>
        <v>0.13510000000000003</v>
      </c>
      <c r="E6" s="68"/>
    </row>
    <row r="7" spans="1:5" ht="30" customHeight="1">
      <c r="A7" s="23" t="s">
        <v>9</v>
      </c>
      <c r="B7" s="7" t="s">
        <v>0</v>
      </c>
      <c r="C7" s="128" t="s">
        <v>8</v>
      </c>
      <c r="D7" s="129"/>
      <c r="E7" s="130"/>
    </row>
    <row r="8" spans="1:5" ht="12.95" customHeight="1">
      <c r="A8" s="52">
        <v>0</v>
      </c>
      <c r="B8" s="53">
        <f>-0.0001*A8^2+0.02*A8</f>
        <v>0</v>
      </c>
      <c r="C8" s="69"/>
      <c r="D8" s="70"/>
      <c r="E8" s="71"/>
    </row>
    <row r="9" spans="1:5" ht="12.95" customHeight="1">
      <c r="A9" s="54">
        <f>+A8+4</f>
        <v>4</v>
      </c>
      <c r="B9" s="53">
        <f aca="true" t="shared" si="0" ref="B9:B32">-0.0001*A9^2+0.02*A9</f>
        <v>0.0784</v>
      </c>
      <c r="C9" s="44"/>
      <c r="D9" s="70"/>
      <c r="E9" s="71"/>
    </row>
    <row r="10" spans="1:5" ht="12.95" customHeight="1">
      <c r="A10" s="54">
        <f aca="true" t="shared" si="1" ref="A10:A30">+A9+4</f>
        <v>8</v>
      </c>
      <c r="B10" s="53">
        <f t="shared" si="0"/>
        <v>0.15360000000000001</v>
      </c>
      <c r="C10" s="44"/>
      <c r="D10" s="70"/>
      <c r="E10" s="71"/>
    </row>
    <row r="11" spans="1:5" ht="12.95" customHeight="1">
      <c r="A11" s="54">
        <f t="shared" si="1"/>
        <v>12</v>
      </c>
      <c r="B11" s="53">
        <f t="shared" si="0"/>
        <v>0.2256</v>
      </c>
      <c r="C11" s="44"/>
      <c r="D11" s="70"/>
      <c r="E11" s="71"/>
    </row>
    <row r="12" spans="1:5" ht="12.95" customHeight="1">
      <c r="A12" s="54">
        <f t="shared" si="1"/>
        <v>16</v>
      </c>
      <c r="B12" s="53">
        <f t="shared" si="0"/>
        <v>0.2944</v>
      </c>
      <c r="C12" s="44"/>
      <c r="D12" s="70"/>
      <c r="E12" s="71"/>
    </row>
    <row r="13" spans="1:5" ht="12.95" customHeight="1">
      <c r="A13" s="54">
        <f t="shared" si="1"/>
        <v>20</v>
      </c>
      <c r="B13" s="53">
        <f t="shared" si="0"/>
        <v>0.36000000000000004</v>
      </c>
      <c r="C13" s="44"/>
      <c r="D13" s="70"/>
      <c r="E13" s="71"/>
    </row>
    <row r="14" spans="1:5" ht="12.95" customHeight="1">
      <c r="A14" s="54">
        <f t="shared" si="1"/>
        <v>24</v>
      </c>
      <c r="B14" s="53">
        <f t="shared" si="0"/>
        <v>0.4224</v>
      </c>
      <c r="C14" s="44"/>
      <c r="D14" s="70"/>
      <c r="E14" s="71"/>
    </row>
    <row r="15" spans="1:5" ht="12.95" customHeight="1">
      <c r="A15" s="54">
        <f t="shared" si="1"/>
        <v>28</v>
      </c>
      <c r="B15" s="53">
        <f t="shared" si="0"/>
        <v>0.48160000000000003</v>
      </c>
      <c r="C15" s="44"/>
      <c r="D15" s="70"/>
      <c r="E15" s="71"/>
    </row>
    <row r="16" spans="1:5" ht="12.95" customHeight="1">
      <c r="A16" s="54">
        <f t="shared" si="1"/>
        <v>32</v>
      </c>
      <c r="B16" s="53">
        <f t="shared" si="0"/>
        <v>0.5376</v>
      </c>
      <c r="C16" s="44"/>
      <c r="D16" s="70"/>
      <c r="E16" s="71"/>
    </row>
    <row r="17" spans="1:5" ht="12.95" customHeight="1">
      <c r="A17" s="54">
        <f t="shared" si="1"/>
        <v>36</v>
      </c>
      <c r="B17" s="53">
        <f t="shared" si="0"/>
        <v>0.5904</v>
      </c>
      <c r="C17" s="44"/>
      <c r="D17" s="70"/>
      <c r="E17" s="71"/>
    </row>
    <row r="18" spans="1:5" ht="12.95" customHeight="1">
      <c r="A18" s="54">
        <f t="shared" si="1"/>
        <v>40</v>
      </c>
      <c r="B18" s="53">
        <f t="shared" si="0"/>
        <v>0.64</v>
      </c>
      <c r="C18" s="44"/>
      <c r="D18" s="70"/>
      <c r="E18" s="71"/>
    </row>
    <row r="19" spans="1:5" ht="12.95" customHeight="1">
      <c r="A19" s="54">
        <f t="shared" si="1"/>
        <v>44</v>
      </c>
      <c r="B19" s="53">
        <f t="shared" si="0"/>
        <v>0.6864</v>
      </c>
      <c r="C19" s="44"/>
      <c r="D19" s="70"/>
      <c r="E19" s="71"/>
    </row>
    <row r="20" spans="1:5" ht="12.95" customHeight="1">
      <c r="A20" s="54">
        <f t="shared" si="1"/>
        <v>48</v>
      </c>
      <c r="B20" s="53">
        <f t="shared" si="0"/>
        <v>0.7295999999999999</v>
      </c>
      <c r="C20" s="44"/>
      <c r="D20" s="70"/>
      <c r="E20" s="71"/>
    </row>
    <row r="21" spans="1:5" ht="12.95" customHeight="1">
      <c r="A21" s="54">
        <f t="shared" si="1"/>
        <v>52</v>
      </c>
      <c r="B21" s="53">
        <f t="shared" si="0"/>
        <v>0.7696000000000001</v>
      </c>
      <c r="C21" s="44"/>
      <c r="D21" s="70"/>
      <c r="E21" s="71"/>
    </row>
    <row r="22" spans="1:5" ht="12.95" customHeight="1">
      <c r="A22" s="54">
        <f t="shared" si="1"/>
        <v>56</v>
      </c>
      <c r="B22" s="53">
        <f t="shared" si="0"/>
        <v>0.8064000000000001</v>
      </c>
      <c r="C22" s="44"/>
      <c r="D22" s="70"/>
      <c r="E22" s="71"/>
    </row>
    <row r="23" spans="1:5" ht="12.95" customHeight="1">
      <c r="A23" s="54">
        <f t="shared" si="1"/>
        <v>60</v>
      </c>
      <c r="B23" s="53">
        <f t="shared" si="0"/>
        <v>0.8399999999999999</v>
      </c>
      <c r="C23" s="44"/>
      <c r="D23" s="70"/>
      <c r="E23" s="71"/>
    </row>
    <row r="24" spans="1:5" ht="12.95" customHeight="1">
      <c r="A24" s="54">
        <f t="shared" si="1"/>
        <v>64</v>
      </c>
      <c r="B24" s="53">
        <f t="shared" si="0"/>
        <v>0.8704000000000001</v>
      </c>
      <c r="C24" s="44"/>
      <c r="D24" s="70"/>
      <c r="E24" s="71"/>
    </row>
    <row r="25" spans="1:5" ht="12.95" customHeight="1">
      <c r="A25" s="54">
        <f t="shared" si="1"/>
        <v>68</v>
      </c>
      <c r="B25" s="53">
        <f t="shared" si="0"/>
        <v>0.8976000000000001</v>
      </c>
      <c r="C25" s="44"/>
      <c r="D25" s="70"/>
      <c r="E25" s="71"/>
    </row>
    <row r="26" spans="1:5" ht="12.95" customHeight="1">
      <c r="A26" s="54">
        <f t="shared" si="1"/>
        <v>72</v>
      </c>
      <c r="B26" s="53">
        <f t="shared" si="0"/>
        <v>0.9216</v>
      </c>
      <c r="C26" s="44"/>
      <c r="D26" s="70"/>
      <c r="E26" s="71"/>
    </row>
    <row r="27" spans="1:5" ht="12.95" customHeight="1">
      <c r="A27" s="54">
        <f t="shared" si="1"/>
        <v>76</v>
      </c>
      <c r="B27" s="53">
        <f t="shared" si="0"/>
        <v>0.9424</v>
      </c>
      <c r="C27" s="44"/>
      <c r="D27" s="70"/>
      <c r="E27" s="71"/>
    </row>
    <row r="28" spans="1:5" ht="12.95" customHeight="1">
      <c r="A28" s="54">
        <f t="shared" si="1"/>
        <v>80</v>
      </c>
      <c r="B28" s="53">
        <f t="shared" si="0"/>
        <v>0.9600000000000001</v>
      </c>
      <c r="C28" s="44"/>
      <c r="D28" s="70"/>
      <c r="E28" s="71"/>
    </row>
    <row r="29" spans="1:5" ht="12.95" customHeight="1" thickBot="1">
      <c r="A29" s="54">
        <f t="shared" si="1"/>
        <v>84</v>
      </c>
      <c r="B29" s="53">
        <f t="shared" si="0"/>
        <v>0.9743999999999999</v>
      </c>
      <c r="C29" s="44"/>
      <c r="D29" s="72"/>
      <c r="E29" s="73"/>
    </row>
    <row r="30" spans="1:5" ht="12.95" customHeight="1" thickTop="1">
      <c r="A30" s="54">
        <f t="shared" si="1"/>
        <v>88</v>
      </c>
      <c r="B30" s="53">
        <f t="shared" si="0"/>
        <v>0.9855999999999999</v>
      </c>
      <c r="C30" s="44"/>
      <c r="D30" s="69"/>
      <c r="E30" s="74"/>
    </row>
    <row r="31" spans="1:5" ht="12.95" customHeight="1">
      <c r="A31" s="54">
        <v>94</v>
      </c>
      <c r="B31" s="53">
        <f t="shared" si="0"/>
        <v>0.9964000000000001</v>
      </c>
      <c r="C31" s="44"/>
      <c r="D31" s="69"/>
      <c r="E31" s="74"/>
    </row>
    <row r="32" spans="1:5" ht="12.95" customHeight="1" thickBot="1">
      <c r="A32" s="55">
        <v>100</v>
      </c>
      <c r="B32" s="56">
        <f t="shared" si="0"/>
        <v>1</v>
      </c>
      <c r="C32" s="49"/>
      <c r="D32" s="75"/>
      <c r="E32" s="76"/>
    </row>
    <row r="33" ht="12.95" customHeight="1" thickTop="1"/>
    <row r="34" ht="12.95" customHeight="1" thickBot="1"/>
    <row r="35" spans="1:5" ht="30" customHeight="1" thickTop="1">
      <c r="A35" s="12" t="s">
        <v>7</v>
      </c>
      <c r="B35" s="13">
        <v>129</v>
      </c>
      <c r="C35" s="14" t="s">
        <v>5</v>
      </c>
      <c r="D35" s="15" t="s">
        <v>1</v>
      </c>
      <c r="E35" s="16" t="s">
        <v>14</v>
      </c>
    </row>
    <row r="36" spans="1:5" ht="30" customHeight="1">
      <c r="A36" s="17" t="s">
        <v>2</v>
      </c>
      <c r="B36" s="1" t="s">
        <v>142</v>
      </c>
      <c r="C36" s="41"/>
      <c r="D36" s="3" t="s">
        <v>15</v>
      </c>
      <c r="E36" s="30" t="s">
        <v>16</v>
      </c>
    </row>
    <row r="37" spans="1:5" ht="30" customHeight="1">
      <c r="A37" s="17" t="s">
        <v>10</v>
      </c>
      <c r="B37" s="1"/>
      <c r="C37" s="41"/>
      <c r="D37" s="3"/>
      <c r="E37" s="30"/>
    </row>
    <row r="38" spans="1:5" ht="30" customHeight="1" thickBot="1">
      <c r="A38" s="17" t="s">
        <v>3</v>
      </c>
      <c r="B38" s="1"/>
      <c r="C38" s="42"/>
      <c r="D38" s="31"/>
      <c r="E38" s="32"/>
    </row>
    <row r="39" spans="1:5" ht="30" customHeight="1">
      <c r="A39" s="17" t="s">
        <v>4</v>
      </c>
      <c r="B39" s="1" t="s">
        <v>63</v>
      </c>
      <c r="C39" s="8" t="s">
        <v>6</v>
      </c>
      <c r="D39" s="10">
        <v>44</v>
      </c>
      <c r="E39" s="67"/>
    </row>
    <row r="40" spans="1:5" ht="30" customHeight="1" thickBot="1">
      <c r="A40" s="20" t="s">
        <v>11</v>
      </c>
      <c r="B40" s="127" t="s">
        <v>129</v>
      </c>
      <c r="C40" s="9" t="s">
        <v>0</v>
      </c>
      <c r="D40" s="11">
        <f>IF(D39&lt;0,"valor del indicador fuera de rango",IF(D39&lt;=33,0,IF(D39&lt;=100,-0.000223*D39^2+0.0446*D39-1.23,"valor del indicador fuera rango")))</f>
        <v>0.30067200000000005</v>
      </c>
      <c r="E40" s="68"/>
    </row>
    <row r="41" spans="1:5" ht="30" customHeight="1">
      <c r="A41" s="23" t="s">
        <v>9</v>
      </c>
      <c r="B41" s="7" t="s">
        <v>0</v>
      </c>
      <c r="C41" s="128" t="s">
        <v>8</v>
      </c>
      <c r="D41" s="129"/>
      <c r="E41" s="130"/>
    </row>
    <row r="42" spans="1:5" ht="12.95" customHeight="1">
      <c r="A42" s="54">
        <v>0</v>
      </c>
      <c r="B42" s="57">
        <v>0</v>
      </c>
      <c r="C42" s="58">
        <v>0</v>
      </c>
      <c r="D42" s="70"/>
      <c r="E42" s="71"/>
    </row>
    <row r="43" spans="1:5" ht="12.95" customHeight="1">
      <c r="A43" s="54">
        <f>+A42+4</f>
        <v>4</v>
      </c>
      <c r="B43" s="59">
        <v>0</v>
      </c>
      <c r="C43" s="58">
        <v>0</v>
      </c>
      <c r="D43" s="70"/>
      <c r="E43" s="71"/>
    </row>
    <row r="44" spans="1:5" ht="12.95" customHeight="1">
      <c r="A44" s="54">
        <f aca="true" t="shared" si="2" ref="A44:A64">+A43+4</f>
        <v>8</v>
      </c>
      <c r="B44" s="59">
        <v>0</v>
      </c>
      <c r="C44" s="58">
        <v>0</v>
      </c>
      <c r="D44" s="70"/>
      <c r="E44" s="71"/>
    </row>
    <row r="45" spans="1:5" ht="12.95" customHeight="1">
      <c r="A45" s="54">
        <f t="shared" si="2"/>
        <v>12</v>
      </c>
      <c r="B45" s="59">
        <v>0</v>
      </c>
      <c r="C45" s="58">
        <v>0</v>
      </c>
      <c r="D45" s="70"/>
      <c r="E45" s="71"/>
    </row>
    <row r="46" spans="1:5" ht="12.95" customHeight="1">
      <c r="A46" s="54">
        <f t="shared" si="2"/>
        <v>16</v>
      </c>
      <c r="B46" s="59">
        <v>0</v>
      </c>
      <c r="C46" s="58">
        <v>0</v>
      </c>
      <c r="D46" s="70"/>
      <c r="E46" s="71"/>
    </row>
    <row r="47" spans="1:5" ht="12.95" customHeight="1">
      <c r="A47" s="54">
        <f t="shared" si="2"/>
        <v>20</v>
      </c>
      <c r="B47" s="59">
        <v>0</v>
      </c>
      <c r="C47" s="58">
        <v>0</v>
      </c>
      <c r="D47" s="70"/>
      <c r="E47" s="71"/>
    </row>
    <row r="48" spans="1:5" ht="12.95" customHeight="1">
      <c r="A48" s="54">
        <f t="shared" si="2"/>
        <v>24</v>
      </c>
      <c r="B48" s="59">
        <v>0</v>
      </c>
      <c r="C48" s="58">
        <v>0</v>
      </c>
      <c r="D48" s="70"/>
      <c r="E48" s="71"/>
    </row>
    <row r="49" spans="1:5" ht="12.95" customHeight="1">
      <c r="A49" s="54">
        <f t="shared" si="2"/>
        <v>28</v>
      </c>
      <c r="B49" s="59">
        <v>0</v>
      </c>
      <c r="C49" s="58">
        <v>0</v>
      </c>
      <c r="D49" s="70"/>
      <c r="E49" s="71"/>
    </row>
    <row r="50" spans="1:5" ht="12.95" customHeight="1">
      <c r="A50" s="54">
        <f t="shared" si="2"/>
        <v>32</v>
      </c>
      <c r="B50" s="59">
        <v>0</v>
      </c>
      <c r="C50" s="58">
        <v>0</v>
      </c>
      <c r="D50" s="70"/>
      <c r="E50" s="71"/>
    </row>
    <row r="51" spans="1:5" ht="12.95" customHeight="1">
      <c r="A51" s="60">
        <f t="shared" si="2"/>
        <v>36</v>
      </c>
      <c r="B51" s="61">
        <f aca="true" t="shared" si="3" ref="B51:B66">-0.000223*A51^2+0.0446*A51-1.23</f>
        <v>0.086592</v>
      </c>
      <c r="C51" s="44"/>
      <c r="D51" s="70"/>
      <c r="E51" s="71"/>
    </row>
    <row r="52" spans="1:5" ht="12.95" customHeight="1">
      <c r="A52" s="60">
        <f t="shared" si="2"/>
        <v>40</v>
      </c>
      <c r="B52" s="61">
        <f t="shared" si="3"/>
        <v>0.19720000000000004</v>
      </c>
      <c r="C52" s="44"/>
      <c r="D52" s="70"/>
      <c r="E52" s="71"/>
    </row>
    <row r="53" spans="1:5" ht="12.95" customHeight="1">
      <c r="A53" s="60">
        <f t="shared" si="2"/>
        <v>44</v>
      </c>
      <c r="B53" s="61">
        <f t="shared" si="3"/>
        <v>0.30067200000000005</v>
      </c>
      <c r="C53" s="44"/>
      <c r="D53" s="70"/>
      <c r="E53" s="71"/>
    </row>
    <row r="54" spans="1:5" ht="12.95" customHeight="1">
      <c r="A54" s="60">
        <f t="shared" si="2"/>
        <v>48</v>
      </c>
      <c r="B54" s="61">
        <f t="shared" si="3"/>
        <v>0.397008</v>
      </c>
      <c r="C54" s="44"/>
      <c r="D54" s="70"/>
      <c r="E54" s="71"/>
    </row>
    <row r="55" spans="1:5" ht="12.95" customHeight="1">
      <c r="A55" s="60">
        <f t="shared" si="2"/>
        <v>52</v>
      </c>
      <c r="B55" s="61">
        <f t="shared" si="3"/>
        <v>0.486208</v>
      </c>
      <c r="C55" s="44"/>
      <c r="D55" s="70"/>
      <c r="E55" s="71"/>
    </row>
    <row r="56" spans="1:5" ht="12.95" customHeight="1">
      <c r="A56" s="60">
        <f t="shared" si="2"/>
        <v>56</v>
      </c>
      <c r="B56" s="61">
        <f t="shared" si="3"/>
        <v>0.5682720000000003</v>
      </c>
      <c r="C56" s="44"/>
      <c r="D56" s="70"/>
      <c r="E56" s="71"/>
    </row>
    <row r="57" spans="1:5" ht="12.95" customHeight="1">
      <c r="A57" s="60">
        <f t="shared" si="2"/>
        <v>60</v>
      </c>
      <c r="B57" s="61">
        <f t="shared" si="3"/>
        <v>0.6432000000000002</v>
      </c>
      <c r="C57" s="44"/>
      <c r="D57" s="70"/>
      <c r="E57" s="71"/>
    </row>
    <row r="58" spans="1:5" ht="12.95" customHeight="1">
      <c r="A58" s="60">
        <f t="shared" si="2"/>
        <v>64</v>
      </c>
      <c r="B58" s="61">
        <f t="shared" si="3"/>
        <v>0.7109920000000001</v>
      </c>
      <c r="C58" s="44"/>
      <c r="D58" s="70"/>
      <c r="E58" s="71"/>
    </row>
    <row r="59" spans="1:5" ht="12.95" customHeight="1">
      <c r="A59" s="60">
        <f t="shared" si="2"/>
        <v>68</v>
      </c>
      <c r="B59" s="61">
        <f t="shared" si="3"/>
        <v>0.7716479999999999</v>
      </c>
      <c r="C59" s="44"/>
      <c r="D59" s="70"/>
      <c r="E59" s="71"/>
    </row>
    <row r="60" spans="1:5" ht="12.95" customHeight="1">
      <c r="A60" s="60">
        <f t="shared" si="2"/>
        <v>72</v>
      </c>
      <c r="B60" s="61">
        <f t="shared" si="3"/>
        <v>0.8251680000000001</v>
      </c>
      <c r="C60" s="44"/>
      <c r="D60" s="70"/>
      <c r="E60" s="71"/>
    </row>
    <row r="61" spans="1:5" ht="12.95" customHeight="1">
      <c r="A61" s="60">
        <f t="shared" si="2"/>
        <v>76</v>
      </c>
      <c r="B61" s="61">
        <f t="shared" si="3"/>
        <v>0.8715519999999999</v>
      </c>
      <c r="C61" s="44"/>
      <c r="D61" s="70"/>
      <c r="E61" s="71"/>
    </row>
    <row r="62" spans="1:5" ht="12.95" customHeight="1">
      <c r="A62" s="60">
        <f t="shared" si="2"/>
        <v>80</v>
      </c>
      <c r="B62" s="61">
        <f t="shared" si="3"/>
        <v>0.9108</v>
      </c>
      <c r="C62" s="44"/>
      <c r="D62" s="70"/>
      <c r="E62" s="71"/>
    </row>
    <row r="63" spans="1:5" ht="12.95" customHeight="1" thickBot="1">
      <c r="A63" s="60">
        <f t="shared" si="2"/>
        <v>84</v>
      </c>
      <c r="B63" s="61">
        <f t="shared" si="3"/>
        <v>0.9429120000000002</v>
      </c>
      <c r="C63" s="44"/>
      <c r="D63" s="72"/>
      <c r="E63" s="73"/>
    </row>
    <row r="64" spans="1:5" ht="12.95" customHeight="1" thickTop="1">
      <c r="A64" s="60">
        <f t="shared" si="2"/>
        <v>88</v>
      </c>
      <c r="B64" s="61">
        <f t="shared" si="3"/>
        <v>0.9678880000000003</v>
      </c>
      <c r="C64" s="44"/>
      <c r="D64" s="69"/>
      <c r="E64" s="74"/>
    </row>
    <row r="65" spans="1:5" ht="12.95" customHeight="1">
      <c r="A65" s="60">
        <v>94</v>
      </c>
      <c r="B65" s="61">
        <f t="shared" si="3"/>
        <v>0.9919720000000001</v>
      </c>
      <c r="C65" s="44"/>
      <c r="D65" s="69"/>
      <c r="E65" s="74"/>
    </row>
    <row r="66" spans="1:5" ht="12.95" customHeight="1" thickBot="1">
      <c r="A66" s="62">
        <v>100</v>
      </c>
      <c r="B66" s="63">
        <f t="shared" si="3"/>
        <v>1</v>
      </c>
      <c r="C66" s="49"/>
      <c r="D66" s="75"/>
      <c r="E66" s="76"/>
    </row>
    <row r="67" ht="12.95" customHeight="1" thickTop="1"/>
    <row r="68" ht="12.95" customHeight="1" thickBot="1"/>
    <row r="69" spans="1:5" ht="30" customHeight="1" thickTop="1">
      <c r="A69" s="12" t="s">
        <v>7</v>
      </c>
      <c r="B69" s="13">
        <v>130</v>
      </c>
      <c r="C69" s="14" t="s">
        <v>5</v>
      </c>
      <c r="D69" s="15" t="s">
        <v>18</v>
      </c>
      <c r="E69" s="16" t="s">
        <v>12</v>
      </c>
    </row>
    <row r="70" spans="1:5" ht="30" customHeight="1">
      <c r="A70" s="17" t="s">
        <v>2</v>
      </c>
      <c r="B70" s="1" t="s">
        <v>17</v>
      </c>
      <c r="C70" s="41"/>
      <c r="D70" s="3"/>
      <c r="E70" s="30"/>
    </row>
    <row r="71" spans="1:5" ht="30" customHeight="1">
      <c r="A71" s="17" t="s">
        <v>10</v>
      </c>
      <c r="B71" s="1"/>
      <c r="C71" s="41"/>
      <c r="D71" s="3"/>
      <c r="E71" s="30"/>
    </row>
    <row r="72" spans="1:5" ht="30" customHeight="1" thickBot="1">
      <c r="A72" s="17" t="s">
        <v>3</v>
      </c>
      <c r="B72" s="1"/>
      <c r="C72" s="42"/>
      <c r="D72" s="31"/>
      <c r="E72" s="32"/>
    </row>
    <row r="73" spans="1:5" ht="30" customHeight="1">
      <c r="A73" s="17" t="s">
        <v>4</v>
      </c>
      <c r="B73" s="1" t="s">
        <v>63</v>
      </c>
      <c r="C73" s="8" t="s">
        <v>6</v>
      </c>
      <c r="D73" s="10">
        <v>20</v>
      </c>
      <c r="E73" s="67"/>
    </row>
    <row r="74" spans="1:5" ht="30" customHeight="1" thickBot="1">
      <c r="A74" s="20" t="s">
        <v>11</v>
      </c>
      <c r="B74" s="127" t="s">
        <v>129</v>
      </c>
      <c r="C74" s="9" t="s">
        <v>0</v>
      </c>
      <c r="D74" s="11">
        <f>IF(D73&lt;0,"valor del indicador fuera de rango",IF(D73&lt;=100,0.01*D73))</f>
        <v>0.2</v>
      </c>
      <c r="E74" s="68"/>
    </row>
    <row r="75" spans="1:5" ht="30" customHeight="1">
      <c r="A75" s="23" t="s">
        <v>9</v>
      </c>
      <c r="B75" s="7" t="s">
        <v>0</v>
      </c>
      <c r="C75" s="128" t="s">
        <v>8</v>
      </c>
      <c r="D75" s="129"/>
      <c r="E75" s="130"/>
    </row>
    <row r="76" spans="1:5" ht="12.95" customHeight="1">
      <c r="A76" s="52">
        <v>0</v>
      </c>
      <c r="B76" s="53">
        <f>0.01*A76</f>
        <v>0</v>
      </c>
      <c r="C76" s="58">
        <v>0</v>
      </c>
      <c r="D76" s="70"/>
      <c r="E76" s="71"/>
    </row>
    <row r="77" spans="1:5" ht="12.95" customHeight="1">
      <c r="A77" s="54">
        <f>+A76+4</f>
        <v>4</v>
      </c>
      <c r="B77" s="53">
        <f aca="true" t="shared" si="4" ref="B77:B97">0.01*A77</f>
        <v>0.04</v>
      </c>
      <c r="C77" s="58">
        <v>0</v>
      </c>
      <c r="D77" s="70"/>
      <c r="E77" s="71"/>
    </row>
    <row r="78" spans="1:5" ht="12.95" customHeight="1">
      <c r="A78" s="54">
        <f aca="true" t="shared" si="5" ref="A78:A95">+A77+4</f>
        <v>8</v>
      </c>
      <c r="B78" s="53">
        <f t="shared" si="4"/>
        <v>0.08</v>
      </c>
      <c r="C78" s="58">
        <v>0</v>
      </c>
      <c r="D78" s="70"/>
      <c r="E78" s="71"/>
    </row>
    <row r="79" spans="1:5" ht="12.95" customHeight="1">
      <c r="A79" s="54">
        <f t="shared" si="5"/>
        <v>12</v>
      </c>
      <c r="B79" s="53">
        <f t="shared" si="4"/>
        <v>0.12</v>
      </c>
      <c r="C79" s="58">
        <v>0</v>
      </c>
      <c r="D79" s="70"/>
      <c r="E79" s="71"/>
    </row>
    <row r="80" spans="1:5" ht="12.95" customHeight="1">
      <c r="A80" s="54">
        <f t="shared" si="5"/>
        <v>16</v>
      </c>
      <c r="B80" s="53">
        <f t="shared" si="4"/>
        <v>0.16</v>
      </c>
      <c r="C80" s="58">
        <v>0</v>
      </c>
      <c r="D80" s="70"/>
      <c r="E80" s="71"/>
    </row>
    <row r="81" spans="1:5" ht="12.95" customHeight="1">
      <c r="A81" s="54">
        <f t="shared" si="5"/>
        <v>20</v>
      </c>
      <c r="B81" s="53">
        <f t="shared" si="4"/>
        <v>0.2</v>
      </c>
      <c r="C81" s="58">
        <v>0</v>
      </c>
      <c r="D81" s="70"/>
      <c r="E81" s="71"/>
    </row>
    <row r="82" spans="1:5" ht="12.95" customHeight="1">
      <c r="A82" s="54">
        <f t="shared" si="5"/>
        <v>24</v>
      </c>
      <c r="B82" s="53">
        <f t="shared" si="4"/>
        <v>0.24</v>
      </c>
      <c r="C82" s="58">
        <v>0</v>
      </c>
      <c r="D82" s="70"/>
      <c r="E82" s="71"/>
    </row>
    <row r="83" spans="1:5" ht="12.95" customHeight="1">
      <c r="A83" s="54">
        <f t="shared" si="5"/>
        <v>28</v>
      </c>
      <c r="B83" s="53">
        <f t="shared" si="4"/>
        <v>0.28</v>
      </c>
      <c r="C83" s="58">
        <v>0</v>
      </c>
      <c r="D83" s="70"/>
      <c r="E83" s="71"/>
    </row>
    <row r="84" spans="1:5" ht="12.95" customHeight="1">
      <c r="A84" s="54">
        <f t="shared" si="5"/>
        <v>32</v>
      </c>
      <c r="B84" s="53">
        <f t="shared" si="4"/>
        <v>0.32</v>
      </c>
      <c r="C84" s="58">
        <v>0</v>
      </c>
      <c r="D84" s="70"/>
      <c r="E84" s="71"/>
    </row>
    <row r="85" spans="1:5" ht="12.95" customHeight="1">
      <c r="A85" s="54">
        <f t="shared" si="5"/>
        <v>36</v>
      </c>
      <c r="B85" s="53">
        <f t="shared" si="4"/>
        <v>0.36</v>
      </c>
      <c r="C85" s="44"/>
      <c r="D85" s="70"/>
      <c r="E85" s="71"/>
    </row>
    <row r="86" spans="1:5" ht="12.95" customHeight="1">
      <c r="A86" s="54">
        <f t="shared" si="5"/>
        <v>40</v>
      </c>
      <c r="B86" s="53">
        <f t="shared" si="4"/>
        <v>0.4</v>
      </c>
      <c r="C86" s="44"/>
      <c r="D86" s="70"/>
      <c r="E86" s="71"/>
    </row>
    <row r="87" spans="1:5" ht="12.95" customHeight="1">
      <c r="A87" s="54">
        <f t="shared" si="5"/>
        <v>44</v>
      </c>
      <c r="B87" s="53">
        <f t="shared" si="4"/>
        <v>0.44</v>
      </c>
      <c r="C87" s="44"/>
      <c r="D87" s="70"/>
      <c r="E87" s="71"/>
    </row>
    <row r="88" spans="1:5" ht="12.95" customHeight="1">
      <c r="A88" s="54">
        <f t="shared" si="5"/>
        <v>48</v>
      </c>
      <c r="B88" s="53">
        <f t="shared" si="4"/>
        <v>0.48</v>
      </c>
      <c r="C88" s="44"/>
      <c r="D88" s="70"/>
      <c r="E88" s="71"/>
    </row>
    <row r="89" spans="1:5" ht="12.95" customHeight="1">
      <c r="A89" s="54">
        <f t="shared" si="5"/>
        <v>52</v>
      </c>
      <c r="B89" s="53">
        <f t="shared" si="4"/>
        <v>0.52</v>
      </c>
      <c r="C89" s="44"/>
      <c r="D89" s="70"/>
      <c r="E89" s="71"/>
    </row>
    <row r="90" spans="1:5" ht="12.95" customHeight="1">
      <c r="A90" s="54">
        <f t="shared" si="5"/>
        <v>56</v>
      </c>
      <c r="B90" s="53">
        <f t="shared" si="4"/>
        <v>0.56</v>
      </c>
      <c r="C90" s="44"/>
      <c r="D90" s="70"/>
      <c r="E90" s="71"/>
    </row>
    <row r="91" spans="1:5" ht="12.95" customHeight="1">
      <c r="A91" s="54">
        <f t="shared" si="5"/>
        <v>60</v>
      </c>
      <c r="B91" s="53">
        <f t="shared" si="4"/>
        <v>0.6</v>
      </c>
      <c r="C91" s="44"/>
      <c r="D91" s="70"/>
      <c r="E91" s="71"/>
    </row>
    <row r="92" spans="1:5" ht="12.95" customHeight="1">
      <c r="A92" s="54">
        <f t="shared" si="5"/>
        <v>64</v>
      </c>
      <c r="B92" s="53">
        <f t="shared" si="4"/>
        <v>0.64</v>
      </c>
      <c r="C92" s="44"/>
      <c r="D92" s="70"/>
      <c r="E92" s="71"/>
    </row>
    <row r="93" spans="1:5" ht="12.95" customHeight="1">
      <c r="A93" s="54">
        <f t="shared" si="5"/>
        <v>68</v>
      </c>
      <c r="B93" s="53">
        <f t="shared" si="4"/>
        <v>0.68</v>
      </c>
      <c r="C93" s="44"/>
      <c r="D93" s="70"/>
      <c r="E93" s="71"/>
    </row>
    <row r="94" spans="1:5" ht="12.95" customHeight="1">
      <c r="A94" s="54">
        <v>70</v>
      </c>
      <c r="B94" s="53">
        <f t="shared" si="4"/>
        <v>0.7000000000000001</v>
      </c>
      <c r="C94" s="44"/>
      <c r="D94" s="70"/>
      <c r="E94" s="71"/>
    </row>
    <row r="95" spans="1:5" ht="12.95" customHeight="1">
      <c r="A95" s="54">
        <f t="shared" si="5"/>
        <v>74</v>
      </c>
      <c r="B95" s="53">
        <f t="shared" si="4"/>
        <v>0.74</v>
      </c>
      <c r="C95" s="44"/>
      <c r="D95" s="70"/>
      <c r="E95" s="71"/>
    </row>
    <row r="96" spans="1:5" ht="12.95" customHeight="1" thickBot="1">
      <c r="A96" s="54">
        <v>90</v>
      </c>
      <c r="B96" s="53">
        <f t="shared" si="4"/>
        <v>0.9</v>
      </c>
      <c r="C96" s="44"/>
      <c r="D96" s="72"/>
      <c r="E96" s="73"/>
    </row>
    <row r="97" spans="1:5" ht="12.95" customHeight="1" thickBot="1" thickTop="1">
      <c r="A97" s="55">
        <v>100</v>
      </c>
      <c r="B97" s="56">
        <f t="shared" si="4"/>
        <v>1</v>
      </c>
      <c r="C97" s="49"/>
      <c r="D97" s="75"/>
      <c r="E97" s="76"/>
    </row>
    <row r="98" ht="12.95" customHeight="1" thickTop="1"/>
    <row r="99" ht="12.95" customHeight="1" thickBot="1"/>
    <row r="100" spans="1:5" ht="30" customHeight="1" thickTop="1">
      <c r="A100" s="12" t="s">
        <v>7</v>
      </c>
      <c r="B100" s="13">
        <v>131</v>
      </c>
      <c r="C100" s="14" t="s">
        <v>5</v>
      </c>
      <c r="D100" s="15" t="s">
        <v>22</v>
      </c>
      <c r="E100" s="16" t="s">
        <v>20</v>
      </c>
    </row>
    <row r="101" spans="1:5" ht="30" customHeight="1">
      <c r="A101" s="17" t="s">
        <v>2</v>
      </c>
      <c r="B101" s="1" t="s">
        <v>19</v>
      </c>
      <c r="C101" s="41"/>
      <c r="D101" s="3" t="s">
        <v>23</v>
      </c>
      <c r="E101" s="30" t="s">
        <v>21</v>
      </c>
    </row>
    <row r="102" spans="1:5" ht="30" customHeight="1">
      <c r="A102" s="17" t="s">
        <v>10</v>
      </c>
      <c r="B102" s="1"/>
      <c r="C102" s="41"/>
      <c r="D102" s="3"/>
      <c r="E102" s="30"/>
    </row>
    <row r="103" spans="1:5" ht="30" customHeight="1" thickBot="1">
      <c r="A103" s="17" t="s">
        <v>3</v>
      </c>
      <c r="B103" s="1"/>
      <c r="C103" s="42"/>
      <c r="D103" s="31"/>
      <c r="E103" s="32"/>
    </row>
    <row r="104" spans="1:5" ht="30" customHeight="1">
      <c r="A104" s="17" t="s">
        <v>4</v>
      </c>
      <c r="B104" s="1" t="s">
        <v>63</v>
      </c>
      <c r="C104" s="8" t="s">
        <v>6</v>
      </c>
      <c r="D104" s="10">
        <v>100</v>
      </c>
      <c r="E104" s="67"/>
    </row>
    <row r="105" spans="1:5" ht="30" customHeight="1" thickBot="1">
      <c r="A105" s="20" t="s">
        <v>11</v>
      </c>
      <c r="B105" s="127" t="s">
        <v>129</v>
      </c>
      <c r="C105" s="9" t="s">
        <v>0</v>
      </c>
      <c r="D105" s="11">
        <f>IF(D104&lt;0,"valor del indicador fuera de rango",IF(D104&lt;=85,-0.0000692*D104^2+1,IF(D104&lt;=100,-0.00152*D104^2+0.247*D104-9.55,"valor del indicador fuera rango")))</f>
        <v>-0.05000000000000249</v>
      </c>
      <c r="E105" s="68"/>
    </row>
    <row r="106" spans="1:5" ht="30" customHeight="1">
      <c r="A106" s="23" t="s">
        <v>9</v>
      </c>
      <c r="B106" s="7" t="s">
        <v>0</v>
      </c>
      <c r="C106" s="128" t="s">
        <v>8</v>
      </c>
      <c r="D106" s="129"/>
      <c r="E106" s="130"/>
    </row>
    <row r="107" spans="1:5" ht="12.95" customHeight="1">
      <c r="A107" s="52">
        <v>0</v>
      </c>
      <c r="B107" s="53">
        <f aca="true" t="shared" si="6" ref="B107:B121">-0.0000692*A107^2+1</f>
        <v>1</v>
      </c>
      <c r="C107" s="58">
        <v>0</v>
      </c>
      <c r="D107" s="70"/>
      <c r="E107" s="71"/>
    </row>
    <row r="108" spans="1:5" ht="12.95" customHeight="1">
      <c r="A108" s="54">
        <f>+A107+4</f>
        <v>4</v>
      </c>
      <c r="B108" s="53">
        <f t="shared" si="6"/>
        <v>0.9988928</v>
      </c>
      <c r="C108" s="58">
        <v>0</v>
      </c>
      <c r="D108" s="70"/>
      <c r="E108" s="71"/>
    </row>
    <row r="109" spans="1:5" ht="12.95" customHeight="1">
      <c r="A109" s="54">
        <f aca="true" t="shared" si="7" ref="A109:A117">+A108+4</f>
        <v>8</v>
      </c>
      <c r="B109" s="53">
        <f t="shared" si="6"/>
        <v>0.9955712</v>
      </c>
      <c r="C109" s="58">
        <v>0</v>
      </c>
      <c r="D109" s="70"/>
      <c r="E109" s="71"/>
    </row>
    <row r="110" spans="1:5" ht="12.95" customHeight="1">
      <c r="A110" s="54">
        <f t="shared" si="7"/>
        <v>12</v>
      </c>
      <c r="B110" s="53">
        <f t="shared" si="6"/>
        <v>0.9900352</v>
      </c>
      <c r="C110" s="58">
        <v>0</v>
      </c>
      <c r="D110" s="70"/>
      <c r="E110" s="71"/>
    </row>
    <row r="111" spans="1:5" ht="12.95" customHeight="1">
      <c r="A111" s="54">
        <f t="shared" si="7"/>
        <v>16</v>
      </c>
      <c r="B111" s="53">
        <f t="shared" si="6"/>
        <v>0.9822848</v>
      </c>
      <c r="C111" s="58">
        <v>0</v>
      </c>
      <c r="D111" s="70"/>
      <c r="E111" s="71"/>
    </row>
    <row r="112" spans="1:5" ht="12.95" customHeight="1">
      <c r="A112" s="54">
        <f t="shared" si="7"/>
        <v>20</v>
      </c>
      <c r="B112" s="53">
        <f t="shared" si="6"/>
        <v>0.97232</v>
      </c>
      <c r="C112" s="58">
        <v>0</v>
      </c>
      <c r="D112" s="70"/>
      <c r="E112" s="71"/>
    </row>
    <row r="113" spans="1:5" ht="12.95" customHeight="1">
      <c r="A113" s="54">
        <f t="shared" si="7"/>
        <v>24</v>
      </c>
      <c r="B113" s="53">
        <f t="shared" si="6"/>
        <v>0.9601408</v>
      </c>
      <c r="C113" s="58">
        <v>0</v>
      </c>
      <c r="D113" s="70"/>
      <c r="E113" s="71"/>
    </row>
    <row r="114" spans="1:5" ht="12.95" customHeight="1">
      <c r="A114" s="54">
        <f t="shared" si="7"/>
        <v>28</v>
      </c>
      <c r="B114" s="53">
        <f t="shared" si="6"/>
        <v>0.9457472</v>
      </c>
      <c r="C114" s="58">
        <v>0</v>
      </c>
      <c r="D114" s="70"/>
      <c r="E114" s="71"/>
    </row>
    <row r="115" spans="1:5" ht="12.95" customHeight="1">
      <c r="A115" s="54">
        <f t="shared" si="7"/>
        <v>32</v>
      </c>
      <c r="B115" s="53">
        <f t="shared" si="6"/>
        <v>0.9291392</v>
      </c>
      <c r="C115" s="58">
        <v>0</v>
      </c>
      <c r="D115" s="70"/>
      <c r="E115" s="71"/>
    </row>
    <row r="116" spans="1:5" ht="12.95" customHeight="1">
      <c r="A116" s="54">
        <f t="shared" si="7"/>
        <v>36</v>
      </c>
      <c r="B116" s="53">
        <f t="shared" si="6"/>
        <v>0.9103168</v>
      </c>
      <c r="C116" s="44"/>
      <c r="D116" s="70"/>
      <c r="E116" s="71"/>
    </row>
    <row r="117" spans="1:5" ht="12.95" customHeight="1">
      <c r="A117" s="54">
        <f t="shared" si="7"/>
        <v>40</v>
      </c>
      <c r="B117" s="53">
        <f t="shared" si="6"/>
        <v>0.88928</v>
      </c>
      <c r="C117" s="44"/>
      <c r="D117" s="70"/>
      <c r="E117" s="71"/>
    </row>
    <row r="118" spans="1:5" ht="12.95" customHeight="1">
      <c r="A118" s="54">
        <v>50</v>
      </c>
      <c r="B118" s="53">
        <f t="shared" si="6"/>
        <v>0.827</v>
      </c>
      <c r="C118" s="44"/>
      <c r="D118" s="70"/>
      <c r="E118" s="71"/>
    </row>
    <row r="119" spans="1:5" ht="12.95" customHeight="1">
      <c r="A119" s="54">
        <v>60</v>
      </c>
      <c r="B119" s="53">
        <f t="shared" si="6"/>
        <v>0.75088</v>
      </c>
      <c r="C119" s="44"/>
      <c r="D119" s="70"/>
      <c r="E119" s="71"/>
    </row>
    <row r="120" spans="1:5" ht="12.95" customHeight="1">
      <c r="A120" s="54">
        <v>70</v>
      </c>
      <c r="B120" s="53">
        <f t="shared" si="6"/>
        <v>0.66092</v>
      </c>
      <c r="C120" s="44"/>
      <c r="D120" s="70"/>
      <c r="E120" s="71"/>
    </row>
    <row r="121" spans="1:5" ht="12.95" customHeight="1">
      <c r="A121" s="54">
        <v>80</v>
      </c>
      <c r="B121" s="53">
        <f t="shared" si="6"/>
        <v>0.5571200000000001</v>
      </c>
      <c r="C121" s="44"/>
      <c r="D121" s="70"/>
      <c r="E121" s="71"/>
    </row>
    <row r="122" spans="1:5" ht="12.95" customHeight="1">
      <c r="A122" s="60">
        <v>85</v>
      </c>
      <c r="B122" s="64">
        <f>-0.00152*(A122^2)+(0.247*A122)-9.55</f>
        <v>0.4629999999999992</v>
      </c>
      <c r="C122" s="44"/>
      <c r="D122" s="70"/>
      <c r="E122" s="71"/>
    </row>
    <row r="123" spans="1:5" ht="12.95" customHeight="1">
      <c r="A123" s="60">
        <v>90</v>
      </c>
      <c r="B123" s="64">
        <f>-0.00152*(A123^2)+(0.247*A123)-9.55</f>
        <v>0.36799999999999855</v>
      </c>
      <c r="C123" s="44"/>
      <c r="D123" s="70"/>
      <c r="E123" s="71"/>
    </row>
    <row r="124" spans="1:5" ht="12.95" customHeight="1" thickBot="1">
      <c r="A124" s="60">
        <v>95</v>
      </c>
      <c r="B124" s="64">
        <f>-0.00152*(A124^2)+(0.247*A124)-9.55</f>
        <v>0.19699999999999918</v>
      </c>
      <c r="C124" s="44"/>
      <c r="D124" s="72"/>
      <c r="E124" s="73"/>
    </row>
    <row r="125" spans="1:5" ht="12.95" customHeight="1" thickBot="1" thickTop="1">
      <c r="A125" s="62">
        <v>100</v>
      </c>
      <c r="B125" s="65">
        <v>0</v>
      </c>
      <c r="C125" s="49"/>
      <c r="D125" s="75"/>
      <c r="E125" s="76"/>
    </row>
    <row r="126" ht="12.95" customHeight="1" thickTop="1"/>
  </sheetData>
  <mergeCells count="4">
    <mergeCell ref="C7:E7"/>
    <mergeCell ref="C41:E41"/>
    <mergeCell ref="C75:E75"/>
    <mergeCell ref="C106:E10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75" zoomScaleNormal="75" workbookViewId="0" topLeftCell="A67">
      <selection activeCell="B83" sqref="B83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132</v>
      </c>
      <c r="C1" s="14" t="s">
        <v>5</v>
      </c>
      <c r="D1" s="15" t="s">
        <v>25</v>
      </c>
      <c r="E1" s="16" t="s">
        <v>26</v>
      </c>
    </row>
    <row r="2" spans="1:5" ht="30" customHeight="1">
      <c r="A2" s="17" t="s">
        <v>2</v>
      </c>
      <c r="B2" s="1" t="s">
        <v>24</v>
      </c>
      <c r="C2" s="41"/>
      <c r="D2" s="3" t="s">
        <v>29</v>
      </c>
      <c r="E2" s="30" t="s">
        <v>27</v>
      </c>
    </row>
    <row r="3" spans="1:5" ht="30" customHeight="1">
      <c r="A3" s="17" t="s">
        <v>10</v>
      </c>
      <c r="B3" s="1"/>
      <c r="C3" s="41"/>
      <c r="D3" s="3" t="s">
        <v>30</v>
      </c>
      <c r="E3" s="30" t="s">
        <v>28</v>
      </c>
    </row>
    <row r="4" spans="1:5" ht="30" customHeight="1" thickBot="1">
      <c r="A4" s="17" t="s">
        <v>3</v>
      </c>
      <c r="B4" s="1" t="s">
        <v>130</v>
      </c>
      <c r="C4" s="42"/>
      <c r="D4" s="31"/>
      <c r="E4" s="32"/>
    </row>
    <row r="5" spans="1:5" ht="30" customHeight="1">
      <c r="A5" s="17" t="s">
        <v>4</v>
      </c>
      <c r="B5" s="1" t="s">
        <v>69</v>
      </c>
      <c r="C5" s="8" t="s">
        <v>6</v>
      </c>
      <c r="D5" s="10">
        <v>1700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rango",IF(D5&lt;=500,-0.000004*(D5^2)+0.004*D5,IF(D5&lt;=1500,(-0.0000004*(D5^2))+(0.0004*D5)+0.9,IF(D5&lt;=3000,(0.000000267*(D5^2))-(0.0016*D5)+2.4,"valor del indicador fuera rango"))))</f>
        <v>0.45162999999999975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52">
        <v>0</v>
      </c>
      <c r="B8" s="53">
        <f aca="true" t="shared" si="0" ref="B8:B13">-0.000004*A8^2+0.004*A8</f>
        <v>0</v>
      </c>
      <c r="C8" s="69"/>
      <c r="D8" s="69"/>
      <c r="E8" s="74"/>
    </row>
    <row r="9" spans="1:5" ht="12.95" customHeight="1">
      <c r="A9" s="54">
        <f>+A8+100</f>
        <v>100</v>
      </c>
      <c r="B9" s="53">
        <f t="shared" si="0"/>
        <v>0.36000000000000004</v>
      </c>
      <c r="C9" s="44"/>
      <c r="D9" s="69"/>
      <c r="E9" s="74"/>
    </row>
    <row r="10" spans="1:5" ht="12.95" customHeight="1">
      <c r="A10" s="54">
        <f>+A9+100</f>
        <v>200</v>
      </c>
      <c r="B10" s="53">
        <f t="shared" si="0"/>
        <v>0.64</v>
      </c>
      <c r="C10" s="44"/>
      <c r="D10" s="69"/>
      <c r="E10" s="74"/>
    </row>
    <row r="11" spans="1:5" ht="12.95" customHeight="1">
      <c r="A11" s="54">
        <f>+A10+100</f>
        <v>300</v>
      </c>
      <c r="B11" s="53">
        <f t="shared" si="0"/>
        <v>0.84</v>
      </c>
      <c r="C11" s="44"/>
      <c r="D11" s="69"/>
      <c r="E11" s="74"/>
    </row>
    <row r="12" spans="1:5" ht="12.95" customHeight="1">
      <c r="A12" s="54">
        <f>+A11+100</f>
        <v>400</v>
      </c>
      <c r="B12" s="53">
        <f t="shared" si="0"/>
        <v>0.9600000000000001</v>
      </c>
      <c r="C12" s="44"/>
      <c r="D12" s="69"/>
      <c r="E12" s="74"/>
    </row>
    <row r="13" spans="1:5" ht="12.95" customHeight="1">
      <c r="A13" s="54">
        <f>+A12+100</f>
        <v>500</v>
      </c>
      <c r="B13" s="53">
        <f t="shared" si="0"/>
        <v>1</v>
      </c>
      <c r="C13" s="44"/>
      <c r="D13" s="69"/>
      <c r="E13" s="74"/>
    </row>
    <row r="14" spans="1:5" ht="12.95" customHeight="1">
      <c r="A14" s="77">
        <f>+A13+200</f>
        <v>700</v>
      </c>
      <c r="B14" s="64">
        <f>-0.0000004*A14^2+0.0004*A14+0.9</f>
        <v>0.9840000000000001</v>
      </c>
      <c r="C14" s="44"/>
      <c r="D14" s="69"/>
      <c r="E14" s="74"/>
    </row>
    <row r="15" spans="1:5" ht="12.95" customHeight="1">
      <c r="A15" s="77">
        <f aca="true" t="shared" si="1" ref="A15:A22">+A14+200</f>
        <v>900</v>
      </c>
      <c r="B15" s="64">
        <f>-0.0000004*A15^2+0.0004*A15+0.9</f>
        <v>0.936</v>
      </c>
      <c r="C15" s="44"/>
      <c r="D15" s="69"/>
      <c r="E15" s="74"/>
    </row>
    <row r="16" spans="1:5" ht="12.95" customHeight="1">
      <c r="A16" s="77">
        <f t="shared" si="1"/>
        <v>1100</v>
      </c>
      <c r="B16" s="64">
        <f>-0.0000004*A16^2+0.0004*A16+0.9</f>
        <v>0.8560000000000001</v>
      </c>
      <c r="C16" s="44"/>
      <c r="D16" s="69"/>
      <c r="E16" s="74"/>
    </row>
    <row r="17" spans="1:5" ht="12.95" customHeight="1">
      <c r="A17" s="77">
        <f t="shared" si="1"/>
        <v>1300</v>
      </c>
      <c r="B17" s="64">
        <f>-0.0000004*A17^2+0.0004*A17+0.9</f>
        <v>0.7440000000000001</v>
      </c>
      <c r="C17" s="44"/>
      <c r="D17" s="69"/>
      <c r="E17" s="74"/>
    </row>
    <row r="18" spans="1:5" ht="12.95" customHeight="1">
      <c r="A18" s="77">
        <f t="shared" si="1"/>
        <v>1500</v>
      </c>
      <c r="B18" s="64">
        <f>-0.0000004*A18^2+0.0004*A18+0.9</f>
        <v>0.6000000000000001</v>
      </c>
      <c r="C18" s="44"/>
      <c r="D18" s="69"/>
      <c r="E18" s="74"/>
    </row>
    <row r="19" spans="1:5" ht="12.95" customHeight="1">
      <c r="A19" s="78">
        <f t="shared" si="1"/>
        <v>1700</v>
      </c>
      <c r="B19" s="79">
        <f aca="true" t="shared" si="2" ref="B19:B24">0.000000267*A19^2-0.0016*A19+2.4</f>
        <v>0.45162999999999975</v>
      </c>
      <c r="C19" s="44"/>
      <c r="D19" s="69"/>
      <c r="E19" s="74"/>
    </row>
    <row r="20" spans="1:5" ht="12.95" customHeight="1">
      <c r="A20" s="78">
        <f t="shared" si="1"/>
        <v>1900</v>
      </c>
      <c r="B20" s="79">
        <f t="shared" si="2"/>
        <v>0.3238699999999999</v>
      </c>
      <c r="C20" s="44"/>
      <c r="D20" s="69"/>
      <c r="E20" s="74"/>
    </row>
    <row r="21" spans="1:5" ht="12.95" customHeight="1">
      <c r="A21" s="78">
        <f t="shared" si="1"/>
        <v>2100</v>
      </c>
      <c r="B21" s="79">
        <f t="shared" si="2"/>
        <v>0.2174699999999996</v>
      </c>
      <c r="C21" s="44"/>
      <c r="D21" s="69"/>
      <c r="E21" s="74"/>
    </row>
    <row r="22" spans="1:5" ht="12.95" customHeight="1">
      <c r="A22" s="78">
        <f t="shared" si="1"/>
        <v>2300</v>
      </c>
      <c r="B22" s="79">
        <f t="shared" si="2"/>
        <v>0.13242999999999983</v>
      </c>
      <c r="C22" s="44"/>
      <c r="D22" s="69"/>
      <c r="E22" s="74"/>
    </row>
    <row r="23" spans="1:5" ht="12.95" customHeight="1">
      <c r="A23" s="78">
        <v>2500</v>
      </c>
      <c r="B23" s="79">
        <f t="shared" si="2"/>
        <v>0.06875000000000009</v>
      </c>
      <c r="C23" s="44"/>
      <c r="D23" s="69"/>
      <c r="E23" s="74"/>
    </row>
    <row r="24" spans="1:5" ht="12.95" customHeight="1" thickBot="1">
      <c r="A24" s="80">
        <v>3000</v>
      </c>
      <c r="B24" s="81">
        <f t="shared" si="2"/>
        <v>0.0030000000000001137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133</v>
      </c>
      <c r="C27" s="14" t="s">
        <v>5</v>
      </c>
      <c r="D27" s="15" t="s">
        <v>32</v>
      </c>
      <c r="E27" s="16" t="s">
        <v>26</v>
      </c>
    </row>
    <row r="28" spans="1:5" ht="30" customHeight="1">
      <c r="A28" s="17" t="s">
        <v>2</v>
      </c>
      <c r="B28" s="1" t="s">
        <v>31</v>
      </c>
      <c r="C28" s="41"/>
      <c r="D28" s="3" t="s">
        <v>33</v>
      </c>
      <c r="E28" s="30" t="s">
        <v>34</v>
      </c>
    </row>
    <row r="29" spans="1:5" ht="30" customHeight="1">
      <c r="A29" s="17" t="s">
        <v>10</v>
      </c>
      <c r="B29" s="1"/>
      <c r="C29" s="41"/>
      <c r="D29" s="3" t="s">
        <v>35</v>
      </c>
      <c r="E29" s="30" t="s">
        <v>36</v>
      </c>
    </row>
    <row r="30" spans="1:5" ht="30" customHeight="1" thickBot="1">
      <c r="A30" s="17" t="s">
        <v>3</v>
      </c>
      <c r="B30" s="1" t="s">
        <v>130</v>
      </c>
      <c r="C30" s="42"/>
      <c r="D30" s="31"/>
      <c r="E30" s="32"/>
    </row>
    <row r="31" spans="1:5" ht="30" customHeight="1">
      <c r="A31" s="17" t="s">
        <v>4</v>
      </c>
      <c r="B31" s="1" t="s">
        <v>70</v>
      </c>
      <c r="C31" s="8" t="s">
        <v>6</v>
      </c>
      <c r="D31" s="10">
        <v>1200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IF(D31&lt;0,"valor del indicador fuera de rango",IF(D31&lt;=500,1,IF(D31&lt;=1000,0.8,IF(D31&lt;=1700,0.4,"valor del indicador fuera rango"))))</f>
        <v>0.4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82">
        <v>0</v>
      </c>
      <c r="B34" s="83">
        <v>1</v>
      </c>
      <c r="C34" s="69"/>
      <c r="D34" s="69"/>
      <c r="E34" s="74"/>
    </row>
    <row r="35" spans="1:5" ht="12.95" customHeight="1">
      <c r="A35" s="82">
        <f>+A34+100</f>
        <v>100</v>
      </c>
      <c r="B35" s="84">
        <v>1</v>
      </c>
      <c r="C35" s="44"/>
      <c r="D35" s="69"/>
      <c r="E35" s="74"/>
    </row>
    <row r="36" spans="1:5" ht="12.95" customHeight="1">
      <c r="A36" s="82">
        <f aca="true" t="shared" si="3" ref="A36:A47">+A35+100</f>
        <v>200</v>
      </c>
      <c r="B36" s="84">
        <v>1</v>
      </c>
      <c r="C36" s="44"/>
      <c r="D36" s="69"/>
      <c r="E36" s="74"/>
    </row>
    <row r="37" spans="1:5" ht="12.95" customHeight="1">
      <c r="A37" s="82">
        <f t="shared" si="3"/>
        <v>300</v>
      </c>
      <c r="B37" s="84">
        <v>1</v>
      </c>
      <c r="C37" s="44"/>
      <c r="D37" s="69"/>
      <c r="E37" s="74"/>
    </row>
    <row r="38" spans="1:5" ht="12.95" customHeight="1">
      <c r="A38" s="82">
        <f t="shared" si="3"/>
        <v>400</v>
      </c>
      <c r="B38" s="84">
        <v>1</v>
      </c>
      <c r="C38" s="44"/>
      <c r="D38" s="69"/>
      <c r="E38" s="74"/>
    </row>
    <row r="39" spans="1:5" ht="12.95" customHeight="1">
      <c r="A39" s="82">
        <f t="shared" si="3"/>
        <v>500</v>
      </c>
      <c r="B39" s="84">
        <v>1</v>
      </c>
      <c r="C39" s="44"/>
      <c r="D39" s="69"/>
      <c r="E39" s="74"/>
    </row>
    <row r="40" spans="1:5" ht="12.95" customHeight="1">
      <c r="A40" s="85">
        <f t="shared" si="3"/>
        <v>600</v>
      </c>
      <c r="B40" s="86">
        <v>0.8</v>
      </c>
      <c r="C40" s="44"/>
      <c r="D40" s="69"/>
      <c r="E40" s="74"/>
    </row>
    <row r="41" spans="1:5" ht="12.95" customHeight="1">
      <c r="A41" s="85">
        <f t="shared" si="3"/>
        <v>700</v>
      </c>
      <c r="B41" s="86">
        <v>0.8</v>
      </c>
      <c r="C41" s="44"/>
      <c r="D41" s="69"/>
      <c r="E41" s="74"/>
    </row>
    <row r="42" spans="1:5" ht="12.95" customHeight="1">
      <c r="A42" s="85">
        <f t="shared" si="3"/>
        <v>800</v>
      </c>
      <c r="B42" s="86">
        <v>0.8</v>
      </c>
      <c r="C42" s="44"/>
      <c r="D42" s="69"/>
      <c r="E42" s="74"/>
    </row>
    <row r="43" spans="1:5" ht="12.95" customHeight="1">
      <c r="A43" s="85">
        <f t="shared" si="3"/>
        <v>900</v>
      </c>
      <c r="B43" s="86">
        <v>0.8</v>
      </c>
      <c r="C43" s="44"/>
      <c r="D43" s="69"/>
      <c r="E43" s="74"/>
    </row>
    <row r="44" spans="1:5" ht="12.95" customHeight="1">
      <c r="A44" s="85">
        <f t="shared" si="3"/>
        <v>1000</v>
      </c>
      <c r="B44" s="86">
        <v>0.8</v>
      </c>
      <c r="C44" s="44"/>
      <c r="D44" s="69"/>
      <c r="E44" s="74"/>
    </row>
    <row r="45" spans="1:5" ht="12.95" customHeight="1">
      <c r="A45" s="87">
        <f t="shared" si="3"/>
        <v>1100</v>
      </c>
      <c r="B45" s="88">
        <v>0.4</v>
      </c>
      <c r="C45" s="44"/>
      <c r="D45" s="69"/>
      <c r="E45" s="74"/>
    </row>
    <row r="46" spans="1:5" ht="12.95" customHeight="1">
      <c r="A46" s="87">
        <f t="shared" si="3"/>
        <v>1200</v>
      </c>
      <c r="B46" s="89">
        <v>0.4</v>
      </c>
      <c r="C46" s="44"/>
      <c r="D46" s="69"/>
      <c r="E46" s="74"/>
    </row>
    <row r="47" spans="1:5" ht="12.95" customHeight="1">
      <c r="A47" s="87">
        <f t="shared" si="3"/>
        <v>1300</v>
      </c>
      <c r="B47" s="89">
        <v>0.4</v>
      </c>
      <c r="C47" s="44"/>
      <c r="D47" s="69"/>
      <c r="E47" s="74"/>
    </row>
    <row r="48" spans="1:5" ht="12.95" customHeight="1">
      <c r="A48" s="87">
        <v>1500</v>
      </c>
      <c r="B48" s="89">
        <v>0.4</v>
      </c>
      <c r="C48" s="44"/>
      <c r="D48" s="69"/>
      <c r="E48" s="74"/>
    </row>
    <row r="49" spans="1:5" ht="12.95" customHeight="1" thickBot="1">
      <c r="A49" s="90">
        <v>1700</v>
      </c>
      <c r="B49" s="91">
        <v>0.4</v>
      </c>
      <c r="C49" s="49"/>
      <c r="D49" s="75"/>
      <c r="E49" s="76"/>
    </row>
    <row r="50" ht="12.95" customHeight="1" thickTop="1"/>
    <row r="51" ht="12.95" customHeight="1" thickBot="1"/>
    <row r="52" spans="1:5" ht="30" customHeight="1" thickTop="1">
      <c r="A52" s="12" t="s">
        <v>7</v>
      </c>
      <c r="B52" s="13">
        <v>134</v>
      </c>
      <c r="C52" s="14" t="s">
        <v>5</v>
      </c>
      <c r="D52" s="15" t="s">
        <v>39</v>
      </c>
      <c r="E52" s="16" t="s">
        <v>38</v>
      </c>
    </row>
    <row r="53" spans="1:5" ht="30" customHeight="1">
      <c r="A53" s="17" t="s">
        <v>2</v>
      </c>
      <c r="B53" s="1" t="s">
        <v>37</v>
      </c>
      <c r="C53" s="41"/>
      <c r="D53" s="3" t="s">
        <v>40</v>
      </c>
      <c r="E53" s="30" t="s">
        <v>42</v>
      </c>
    </row>
    <row r="54" spans="1:5" ht="30" customHeight="1">
      <c r="A54" s="17" t="s">
        <v>10</v>
      </c>
      <c r="B54" s="27"/>
      <c r="C54" s="41"/>
      <c r="D54" s="3" t="s">
        <v>41</v>
      </c>
      <c r="E54" s="30" t="s">
        <v>43</v>
      </c>
    </row>
    <row r="55" spans="1:5" ht="30" customHeight="1" thickBot="1">
      <c r="A55" s="17" t="s">
        <v>3</v>
      </c>
      <c r="B55" s="1" t="s">
        <v>71</v>
      </c>
      <c r="C55" s="42"/>
      <c r="D55" s="31"/>
      <c r="E55" s="32"/>
    </row>
    <row r="56" spans="1:5" ht="30" customHeight="1">
      <c r="A56" s="17" t="s">
        <v>4</v>
      </c>
      <c r="B56" s="1" t="s">
        <v>72</v>
      </c>
      <c r="C56" s="8" t="s">
        <v>6</v>
      </c>
      <c r="D56" s="10">
        <v>3000</v>
      </c>
      <c r="E56" s="67"/>
    </row>
    <row r="57" spans="1:5" ht="30" customHeight="1" thickBot="1">
      <c r="A57" s="20" t="s">
        <v>11</v>
      </c>
      <c r="B57" s="127" t="s">
        <v>129</v>
      </c>
      <c r="C57" s="9" t="s">
        <v>0</v>
      </c>
      <c r="D57" s="11">
        <f>IF(D56&lt;0,"valor del indicador fuera de rango",IF(D56&lt;=750,-0.00000178*(D56^2)+(0.00267*D56),IF(D56&lt;=2250,(-0.000000178*(D56^2))+(0.000264*D56)+0.9,IF(D56&lt;=4500,0.000000119*(D56^2)-(0.00107*D56)+2.4,"valor del indicador fuera rango"))))</f>
        <v>0.2609999999999997</v>
      </c>
      <c r="E57" s="68"/>
    </row>
    <row r="58" spans="1:5" ht="30" customHeight="1">
      <c r="A58" s="23" t="s">
        <v>9</v>
      </c>
      <c r="B58" s="7" t="s">
        <v>0</v>
      </c>
      <c r="C58" s="131" t="s">
        <v>8</v>
      </c>
      <c r="D58" s="132"/>
      <c r="E58" s="133"/>
    </row>
    <row r="59" spans="1:5" ht="12.95" customHeight="1">
      <c r="A59" s="82">
        <v>0</v>
      </c>
      <c r="B59" s="53">
        <f>-0.00000178*A59^2+0.00267*A59</f>
        <v>0</v>
      </c>
      <c r="C59" s="69"/>
      <c r="D59" s="69"/>
      <c r="E59" s="74"/>
    </row>
    <row r="60" spans="1:5" ht="12.95" customHeight="1">
      <c r="A60" s="82">
        <f>+A59+280</f>
        <v>280</v>
      </c>
      <c r="B60" s="53">
        <f>-0.00000178*A60^2+0.00267*A60</f>
        <v>0.608048</v>
      </c>
      <c r="C60" s="44"/>
      <c r="D60" s="69"/>
      <c r="E60" s="74"/>
    </row>
    <row r="61" spans="1:5" ht="12.95" customHeight="1">
      <c r="A61" s="82">
        <f aca="true" t="shared" si="4" ref="A61:A74">+A60+280</f>
        <v>560</v>
      </c>
      <c r="B61" s="53">
        <f>-0.00000178*A61^2+0.00267*A61</f>
        <v>0.9369920000000002</v>
      </c>
      <c r="C61" s="44"/>
      <c r="D61" s="69"/>
      <c r="E61" s="74"/>
    </row>
    <row r="62" spans="1:5" ht="12.95" customHeight="1">
      <c r="A62" s="85">
        <f t="shared" si="4"/>
        <v>840</v>
      </c>
      <c r="B62" s="29">
        <f aca="true" t="shared" si="5" ref="B62:B67">-0.000000178*A62^2+0.000264*A62+0.9</f>
        <v>0.9961632</v>
      </c>
      <c r="C62" s="44"/>
      <c r="D62" s="69"/>
      <c r="E62" s="74"/>
    </row>
    <row r="63" spans="1:5" ht="12.95" customHeight="1">
      <c r="A63" s="85">
        <f t="shared" si="4"/>
        <v>1120</v>
      </c>
      <c r="B63" s="29">
        <f t="shared" si="5"/>
        <v>0.9723968000000001</v>
      </c>
      <c r="C63" s="44"/>
      <c r="D63" s="69"/>
      <c r="E63" s="74"/>
    </row>
    <row r="64" spans="1:5" ht="12.95" customHeight="1">
      <c r="A64" s="85">
        <f t="shared" si="4"/>
        <v>1400</v>
      </c>
      <c r="B64" s="29">
        <f t="shared" si="5"/>
        <v>0.92072</v>
      </c>
      <c r="C64" s="44"/>
      <c r="D64" s="69"/>
      <c r="E64" s="74"/>
    </row>
    <row r="65" spans="1:5" ht="12.95" customHeight="1">
      <c r="A65" s="85">
        <f t="shared" si="4"/>
        <v>1680</v>
      </c>
      <c r="B65" s="29">
        <f t="shared" si="5"/>
        <v>0.8411328</v>
      </c>
      <c r="C65" s="44"/>
      <c r="D65" s="69"/>
      <c r="E65" s="74"/>
    </row>
    <row r="66" spans="1:5" ht="12.95" customHeight="1">
      <c r="A66" s="85">
        <f t="shared" si="4"/>
        <v>1960</v>
      </c>
      <c r="B66" s="29">
        <f t="shared" si="5"/>
        <v>0.7336352</v>
      </c>
      <c r="C66" s="44"/>
      <c r="D66" s="69"/>
      <c r="E66" s="74"/>
    </row>
    <row r="67" spans="1:5" ht="12.95" customHeight="1">
      <c r="A67" s="85">
        <f t="shared" si="4"/>
        <v>2240</v>
      </c>
      <c r="B67" s="29">
        <f t="shared" si="5"/>
        <v>0.5982272</v>
      </c>
      <c r="C67" s="44"/>
      <c r="D67" s="69"/>
      <c r="E67" s="74"/>
    </row>
    <row r="68" spans="1:5" ht="12.95" customHeight="1">
      <c r="A68" s="87">
        <f t="shared" si="4"/>
        <v>2520</v>
      </c>
      <c r="B68" s="92">
        <f aca="true" t="shared" si="6" ref="B68:B75">0.000000119*A68^2-0.00107*A68+2.4</f>
        <v>0.45929759999999975</v>
      </c>
      <c r="C68" s="44"/>
      <c r="D68" s="69"/>
      <c r="E68" s="74"/>
    </row>
    <row r="69" spans="1:5" ht="12.95" customHeight="1">
      <c r="A69" s="87">
        <f t="shared" si="4"/>
        <v>2800</v>
      </c>
      <c r="B69" s="92">
        <f t="shared" si="6"/>
        <v>0.3369599999999999</v>
      </c>
      <c r="C69" s="44"/>
      <c r="D69" s="69"/>
      <c r="E69" s="74"/>
    </row>
    <row r="70" spans="1:5" ht="12.95" customHeight="1">
      <c r="A70" s="87">
        <f t="shared" si="4"/>
        <v>3080</v>
      </c>
      <c r="B70" s="92">
        <f t="shared" si="6"/>
        <v>0.2332816000000002</v>
      </c>
      <c r="C70" s="44"/>
      <c r="D70" s="69"/>
      <c r="E70" s="74"/>
    </row>
    <row r="71" spans="1:5" ht="12.95" customHeight="1">
      <c r="A71" s="87">
        <f t="shared" si="4"/>
        <v>3360</v>
      </c>
      <c r="B71" s="92">
        <f t="shared" si="6"/>
        <v>0.14826239999999968</v>
      </c>
      <c r="C71" s="44"/>
      <c r="D71" s="69"/>
      <c r="E71" s="74"/>
    </row>
    <row r="72" spans="1:5" ht="12.95" customHeight="1">
      <c r="A72" s="87">
        <f t="shared" si="4"/>
        <v>3640</v>
      </c>
      <c r="B72" s="92">
        <f t="shared" si="6"/>
        <v>0.08190239999999971</v>
      </c>
      <c r="C72" s="44"/>
      <c r="D72" s="69"/>
      <c r="E72" s="74"/>
    </row>
    <row r="73" spans="1:5" ht="12.95" customHeight="1">
      <c r="A73" s="87">
        <f t="shared" si="4"/>
        <v>3920</v>
      </c>
      <c r="B73" s="92">
        <f t="shared" si="6"/>
        <v>0.03420159999999983</v>
      </c>
      <c r="C73" s="44"/>
      <c r="D73" s="69"/>
      <c r="E73" s="74"/>
    </row>
    <row r="74" spans="1:5" ht="12.95" customHeight="1">
      <c r="A74" s="87">
        <f t="shared" si="4"/>
        <v>4200</v>
      </c>
      <c r="B74" s="92">
        <f t="shared" si="6"/>
        <v>0.005160000000000053</v>
      </c>
      <c r="C74" s="44"/>
      <c r="D74" s="69"/>
      <c r="E74" s="74"/>
    </row>
    <row r="75" spans="1:5" ht="12.95" customHeight="1" thickBot="1">
      <c r="A75" s="90">
        <v>4500</v>
      </c>
      <c r="B75" s="93">
        <f t="shared" si="6"/>
        <v>-0.005249999999999755</v>
      </c>
      <c r="C75" s="49"/>
      <c r="D75" s="75"/>
      <c r="E75" s="76"/>
    </row>
    <row r="76" ht="12.95" customHeight="1" thickTop="1"/>
    <row r="77" ht="12.95" customHeight="1" thickBot="1"/>
    <row r="78" spans="1:5" ht="30" customHeight="1" thickTop="1">
      <c r="A78" s="12" t="s">
        <v>7</v>
      </c>
      <c r="B78" s="13">
        <v>135</v>
      </c>
      <c r="C78" s="14" t="s">
        <v>5</v>
      </c>
      <c r="D78" s="15" t="s">
        <v>39</v>
      </c>
      <c r="E78" s="16" t="s">
        <v>38</v>
      </c>
    </row>
    <row r="79" spans="1:5" ht="30" customHeight="1">
      <c r="A79" s="17" t="s">
        <v>2</v>
      </c>
      <c r="B79" s="1" t="s">
        <v>73</v>
      </c>
      <c r="C79" s="41"/>
      <c r="D79" s="3" t="s">
        <v>40</v>
      </c>
      <c r="E79" s="30" t="s">
        <v>42</v>
      </c>
    </row>
    <row r="80" spans="1:5" ht="30" customHeight="1">
      <c r="A80" s="17" t="s">
        <v>10</v>
      </c>
      <c r="B80" s="27"/>
      <c r="C80" s="41"/>
      <c r="D80" s="3" t="s">
        <v>41</v>
      </c>
      <c r="E80" s="30" t="s">
        <v>43</v>
      </c>
    </row>
    <row r="81" spans="1:5" ht="30" customHeight="1" thickBot="1">
      <c r="A81" s="17" t="s">
        <v>3</v>
      </c>
      <c r="B81" s="1" t="s">
        <v>71</v>
      </c>
      <c r="C81" s="42"/>
      <c r="D81" s="31"/>
      <c r="E81" s="32"/>
    </row>
    <row r="82" spans="1:5" ht="30" customHeight="1">
      <c r="A82" s="17" t="s">
        <v>4</v>
      </c>
      <c r="B82" s="1" t="s">
        <v>74</v>
      </c>
      <c r="C82" s="8" t="s">
        <v>6</v>
      </c>
      <c r="D82" s="10">
        <v>3000</v>
      </c>
      <c r="E82" s="67"/>
    </row>
    <row r="83" spans="1:5" ht="30" customHeight="1" thickBot="1">
      <c r="A83" s="20" t="s">
        <v>11</v>
      </c>
      <c r="B83" s="127" t="s">
        <v>129</v>
      </c>
      <c r="C83" s="9" t="s">
        <v>0</v>
      </c>
      <c r="D83" s="11">
        <f>IF(D82&lt;0,"valor del indicador fuera de rango",IF(D82&lt;=750,-0.00000178*(D82^2)+(0.00267*D82),IF(D82&lt;=2250,(-0.000000178*(D82^2))+(0.000264*D82)+0.9,IF(D82&lt;=4500,0.000000119*(D82^2)-(0.00107*D82)+2.4,"valor del indicador fuera rango"))))</f>
        <v>0.2609999999999997</v>
      </c>
      <c r="E83" s="68"/>
    </row>
    <row r="84" spans="1:5" ht="30" customHeight="1">
      <c r="A84" s="23" t="s">
        <v>9</v>
      </c>
      <c r="B84" s="7" t="s">
        <v>0</v>
      </c>
      <c r="C84" s="131" t="s">
        <v>8</v>
      </c>
      <c r="D84" s="132"/>
      <c r="E84" s="133"/>
    </row>
    <row r="85" spans="1:5" ht="12.95" customHeight="1">
      <c r="A85" s="82">
        <v>0</v>
      </c>
      <c r="B85" s="94">
        <v>1</v>
      </c>
      <c r="C85" s="69"/>
      <c r="D85" s="69"/>
      <c r="E85" s="74"/>
    </row>
    <row r="86" spans="1:5" ht="12.95" customHeight="1">
      <c r="A86" s="82">
        <v>200</v>
      </c>
      <c r="B86" s="94">
        <v>1</v>
      </c>
      <c r="C86" s="44"/>
      <c r="D86" s="69"/>
      <c r="E86" s="74"/>
    </row>
    <row r="87" spans="1:5" ht="12.95" customHeight="1">
      <c r="A87" s="82">
        <v>400</v>
      </c>
      <c r="B87" s="94">
        <v>1</v>
      </c>
      <c r="C87" s="44"/>
      <c r="D87" s="69"/>
      <c r="E87" s="74"/>
    </row>
    <row r="88" spans="1:5" ht="12.95" customHeight="1">
      <c r="A88" s="82">
        <v>500</v>
      </c>
      <c r="B88" s="94">
        <v>1</v>
      </c>
      <c r="C88" s="44"/>
      <c r="D88" s="69"/>
      <c r="E88" s="74"/>
    </row>
    <row r="89" spans="1:5" ht="12.95" customHeight="1">
      <c r="A89" s="85">
        <v>800</v>
      </c>
      <c r="B89" s="35">
        <v>0.6</v>
      </c>
      <c r="C89" s="44"/>
      <c r="D89" s="69"/>
      <c r="E89" s="74"/>
    </row>
    <row r="90" spans="1:5" ht="12.95" customHeight="1">
      <c r="A90" s="85">
        <v>1000</v>
      </c>
      <c r="B90" s="35">
        <v>0.6</v>
      </c>
      <c r="C90" s="44"/>
      <c r="D90" s="69"/>
      <c r="E90" s="74"/>
    </row>
    <row r="91" spans="1:5" ht="12.95" customHeight="1">
      <c r="A91" s="85">
        <f aca="true" t="shared" si="7" ref="A91:A100">+A90+150</f>
        <v>1150</v>
      </c>
      <c r="B91" s="35">
        <v>0.6</v>
      </c>
      <c r="C91" s="44"/>
      <c r="D91" s="69"/>
      <c r="E91" s="74"/>
    </row>
    <row r="92" spans="1:5" ht="12.95" customHeight="1">
      <c r="A92" s="85">
        <f t="shared" si="7"/>
        <v>1300</v>
      </c>
      <c r="B92" s="35">
        <v>0.6</v>
      </c>
      <c r="C92" s="44"/>
      <c r="D92" s="69"/>
      <c r="E92" s="74"/>
    </row>
    <row r="93" spans="1:5" ht="12.95" customHeight="1">
      <c r="A93" s="85">
        <f t="shared" si="7"/>
        <v>1450</v>
      </c>
      <c r="B93" s="35">
        <v>0.6</v>
      </c>
      <c r="C93" s="44"/>
      <c r="D93" s="69"/>
      <c r="E93" s="74"/>
    </row>
    <row r="94" spans="1:5" ht="12.95" customHeight="1">
      <c r="A94" s="87">
        <f t="shared" si="7"/>
        <v>1600</v>
      </c>
      <c r="B94" s="95">
        <v>0.4</v>
      </c>
      <c r="C94" s="44"/>
      <c r="D94" s="69"/>
      <c r="E94" s="74"/>
    </row>
    <row r="95" spans="1:5" ht="12.95" customHeight="1">
      <c r="A95" s="87">
        <f t="shared" si="7"/>
        <v>1750</v>
      </c>
      <c r="B95" s="95">
        <v>0.4</v>
      </c>
      <c r="C95" s="44"/>
      <c r="D95" s="69"/>
      <c r="E95" s="74"/>
    </row>
    <row r="96" spans="1:5" ht="12.95" customHeight="1">
      <c r="A96" s="87">
        <f t="shared" si="7"/>
        <v>1900</v>
      </c>
      <c r="B96" s="95">
        <v>0.4</v>
      </c>
      <c r="C96" s="44"/>
      <c r="D96" s="69"/>
      <c r="E96" s="74"/>
    </row>
    <row r="97" spans="1:5" ht="12.95" customHeight="1">
      <c r="A97" s="87">
        <f t="shared" si="7"/>
        <v>2050</v>
      </c>
      <c r="B97" s="95">
        <v>0.4</v>
      </c>
      <c r="C97" s="44"/>
      <c r="D97" s="69"/>
      <c r="E97" s="74"/>
    </row>
    <row r="98" spans="1:5" ht="12.95" customHeight="1">
      <c r="A98" s="87">
        <f t="shared" si="7"/>
        <v>2200</v>
      </c>
      <c r="B98" s="95">
        <v>0.4</v>
      </c>
      <c r="C98" s="44"/>
      <c r="D98" s="69"/>
      <c r="E98" s="74"/>
    </row>
    <row r="99" spans="1:5" ht="12.95" customHeight="1">
      <c r="A99" s="87">
        <f t="shared" si="7"/>
        <v>2350</v>
      </c>
      <c r="B99" s="95">
        <v>0.4</v>
      </c>
      <c r="C99" s="44"/>
      <c r="D99" s="69"/>
      <c r="E99" s="74"/>
    </row>
    <row r="100" spans="1:5" ht="12.95" customHeight="1" thickBot="1">
      <c r="A100" s="90">
        <f t="shared" si="7"/>
        <v>2500</v>
      </c>
      <c r="B100" s="96">
        <v>0.4</v>
      </c>
      <c r="C100" s="49"/>
      <c r="D100" s="75"/>
      <c r="E100" s="76"/>
    </row>
    <row r="101" ht="12.95" customHeight="1" thickTop="1"/>
  </sheetData>
  <mergeCells count="4">
    <mergeCell ref="C7:E7"/>
    <mergeCell ref="C33:E33"/>
    <mergeCell ref="C58:E58"/>
    <mergeCell ref="C84:E8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136</v>
      </c>
      <c r="C1" s="14" t="s">
        <v>5</v>
      </c>
      <c r="D1" s="15" t="s">
        <v>55</v>
      </c>
      <c r="E1" s="16" t="s">
        <v>45</v>
      </c>
    </row>
    <row r="2" spans="1:5" ht="30" customHeight="1">
      <c r="A2" s="17" t="s">
        <v>2</v>
      </c>
      <c r="B2" s="1" t="s">
        <v>75</v>
      </c>
      <c r="C2" s="41"/>
      <c r="D2" s="3" t="s">
        <v>46</v>
      </c>
      <c r="E2" s="30" t="s">
        <v>47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44</v>
      </c>
      <c r="C4" s="42"/>
      <c r="D4" s="31"/>
      <c r="E4" s="32"/>
    </row>
    <row r="5" spans="1:5" ht="30" customHeight="1">
      <c r="A5" s="17" t="s">
        <v>4</v>
      </c>
      <c r="B5" s="1" t="s">
        <v>67</v>
      </c>
      <c r="C5" s="8" t="s">
        <v>6</v>
      </c>
      <c r="D5" s="10">
        <v>100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rango",IF(D5&lt;=50,0.000138*D5^2-0.0189*D5+1,IF(D5&lt;=140,-0.00444*D5+0.622,"valor del indicador fuera rango")))</f>
        <v>0.17799999999999994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0.000138*A8^2-0.0189*A8+1</f>
        <v>1</v>
      </c>
      <c r="C8" s="69"/>
      <c r="D8" s="69"/>
      <c r="E8" s="74"/>
    </row>
    <row r="9" spans="1:5" ht="12.95" customHeight="1">
      <c r="A9" s="82">
        <v>5</v>
      </c>
      <c r="B9" s="53">
        <f t="shared" si="0"/>
        <v>0.90895</v>
      </c>
      <c r="C9" s="44"/>
      <c r="D9" s="69"/>
      <c r="E9" s="74"/>
    </row>
    <row r="10" spans="1:5" ht="12.95" customHeight="1">
      <c r="A10" s="82">
        <v>10</v>
      </c>
      <c r="B10" s="53">
        <f t="shared" si="0"/>
        <v>0.8248</v>
      </c>
      <c r="C10" s="44"/>
      <c r="D10" s="69"/>
      <c r="E10" s="74"/>
    </row>
    <row r="11" spans="1:5" ht="12.95" customHeight="1">
      <c r="A11" s="82">
        <v>15</v>
      </c>
      <c r="B11" s="53">
        <f t="shared" si="0"/>
        <v>0.74755</v>
      </c>
      <c r="C11" s="44"/>
      <c r="D11" s="69"/>
      <c r="E11" s="74"/>
    </row>
    <row r="12" spans="1:5" ht="12.95" customHeight="1">
      <c r="A12" s="82">
        <v>20</v>
      </c>
      <c r="B12" s="53">
        <f t="shared" si="0"/>
        <v>0.6772</v>
      </c>
      <c r="C12" s="44"/>
      <c r="D12" s="69"/>
      <c r="E12" s="74"/>
    </row>
    <row r="13" spans="1:5" ht="12.95" customHeight="1">
      <c r="A13" s="82">
        <f aca="true" t="shared" si="1" ref="A13:A24">+A12+10</f>
        <v>30</v>
      </c>
      <c r="B13" s="53">
        <f t="shared" si="0"/>
        <v>0.5572</v>
      </c>
      <c r="C13" s="44"/>
      <c r="D13" s="69"/>
      <c r="E13" s="74"/>
    </row>
    <row r="14" spans="1:5" ht="12.95" customHeight="1">
      <c r="A14" s="82">
        <f t="shared" si="1"/>
        <v>40</v>
      </c>
      <c r="B14" s="53">
        <f t="shared" si="0"/>
        <v>0.4648</v>
      </c>
      <c r="C14" s="44"/>
      <c r="D14" s="69"/>
      <c r="E14" s="74"/>
    </row>
    <row r="15" spans="1:5" ht="12.95" customHeight="1">
      <c r="A15" s="82">
        <f t="shared" si="1"/>
        <v>50</v>
      </c>
      <c r="B15" s="53">
        <f t="shared" si="0"/>
        <v>0.3999999999999999</v>
      </c>
      <c r="C15" s="44"/>
      <c r="D15" s="69"/>
      <c r="E15" s="74"/>
    </row>
    <row r="16" spans="1:5" ht="12.95" customHeight="1">
      <c r="A16" s="85">
        <f t="shared" si="1"/>
        <v>60</v>
      </c>
      <c r="B16" s="97">
        <f aca="true" t="shared" si="2" ref="B16:B24">-0.00444*A16+0.622</f>
        <v>0.35559999999999997</v>
      </c>
      <c r="C16" s="44"/>
      <c r="D16" s="69"/>
      <c r="E16" s="74"/>
    </row>
    <row r="17" spans="1:5" ht="12.95" customHeight="1">
      <c r="A17" s="85">
        <f t="shared" si="1"/>
        <v>70</v>
      </c>
      <c r="B17" s="97">
        <f t="shared" si="2"/>
        <v>0.3112</v>
      </c>
      <c r="C17" s="44"/>
      <c r="D17" s="69"/>
      <c r="E17" s="74"/>
    </row>
    <row r="18" spans="1:5" ht="12.95" customHeight="1">
      <c r="A18" s="85">
        <f t="shared" si="1"/>
        <v>80</v>
      </c>
      <c r="B18" s="97">
        <f t="shared" si="2"/>
        <v>0.2668</v>
      </c>
      <c r="C18" s="44"/>
      <c r="D18" s="69"/>
      <c r="E18" s="74"/>
    </row>
    <row r="19" spans="1:5" ht="12.95" customHeight="1">
      <c r="A19" s="85">
        <f t="shared" si="1"/>
        <v>90</v>
      </c>
      <c r="B19" s="97">
        <f t="shared" si="2"/>
        <v>0.2224</v>
      </c>
      <c r="C19" s="44"/>
      <c r="D19" s="69"/>
      <c r="E19" s="74"/>
    </row>
    <row r="20" spans="1:5" ht="12.95" customHeight="1">
      <c r="A20" s="85">
        <f t="shared" si="1"/>
        <v>100</v>
      </c>
      <c r="B20" s="97">
        <f t="shared" si="2"/>
        <v>0.17799999999999994</v>
      </c>
      <c r="C20" s="44"/>
      <c r="D20" s="69"/>
      <c r="E20" s="74"/>
    </row>
    <row r="21" spans="1:5" ht="12.95" customHeight="1">
      <c r="A21" s="85">
        <f t="shared" si="1"/>
        <v>110</v>
      </c>
      <c r="B21" s="97">
        <f t="shared" si="2"/>
        <v>0.13359999999999994</v>
      </c>
      <c r="C21" s="44"/>
      <c r="D21" s="69"/>
      <c r="E21" s="74"/>
    </row>
    <row r="22" spans="1:5" ht="12.95" customHeight="1">
      <c r="A22" s="85">
        <f t="shared" si="1"/>
        <v>120</v>
      </c>
      <c r="B22" s="97">
        <f t="shared" si="2"/>
        <v>0.08919999999999995</v>
      </c>
      <c r="C22" s="44"/>
      <c r="D22" s="69"/>
      <c r="E22" s="74"/>
    </row>
    <row r="23" spans="1:5" ht="12.95" customHeight="1">
      <c r="A23" s="85">
        <f t="shared" si="1"/>
        <v>130</v>
      </c>
      <c r="B23" s="97">
        <f t="shared" si="2"/>
        <v>0.04479999999999995</v>
      </c>
      <c r="C23" s="44"/>
      <c r="D23" s="69"/>
      <c r="E23" s="74"/>
    </row>
    <row r="24" spans="1:5" ht="12.95" customHeight="1" thickBot="1">
      <c r="A24" s="98">
        <f t="shared" si="1"/>
        <v>140</v>
      </c>
      <c r="B24" s="99">
        <f t="shared" si="2"/>
        <v>0.00039999999999995595</v>
      </c>
      <c r="C24" s="49"/>
      <c r="D24" s="75"/>
      <c r="E24" s="76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137</v>
      </c>
      <c r="C1" s="14" t="s">
        <v>5</v>
      </c>
      <c r="D1" s="15" t="s">
        <v>56</v>
      </c>
      <c r="E1" s="16" t="s">
        <v>48</v>
      </c>
    </row>
    <row r="2" spans="1:5" ht="30" customHeight="1">
      <c r="A2" s="17" t="s">
        <v>2</v>
      </c>
      <c r="B2" s="1" t="s">
        <v>76</v>
      </c>
      <c r="C2" s="41"/>
      <c r="D2" s="3" t="s">
        <v>57</v>
      </c>
      <c r="E2" s="30" t="s">
        <v>49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 t="s">
        <v>77</v>
      </c>
      <c r="C4" s="42"/>
      <c r="D4" s="31"/>
      <c r="E4" s="32"/>
    </row>
    <row r="5" spans="1:5" ht="30" customHeight="1">
      <c r="A5" s="17" t="s">
        <v>4</v>
      </c>
      <c r="B5" s="1" t="s">
        <v>63</v>
      </c>
      <c r="C5" s="8" t="s">
        <v>6</v>
      </c>
      <c r="D5" s="10">
        <v>30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rango",IF(D5&lt;=15,-0.000667*D5^2+1,IF(D5&lt;=100,0.000118*D5^2-0.0235*D5+1.18,"valor del indicador fuera rango")))</f>
        <v>0.5811999999999999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82">
        <v>0</v>
      </c>
      <c r="B8" s="53">
        <f aca="true" t="shared" si="0" ref="B8:B15">-0.000667*A8^2+1</f>
        <v>1</v>
      </c>
      <c r="C8" s="69"/>
      <c r="D8" s="69"/>
      <c r="E8" s="74"/>
    </row>
    <row r="9" spans="1:5" ht="12.95" customHeight="1">
      <c r="A9" s="82">
        <v>2</v>
      </c>
      <c r="B9" s="53">
        <f t="shared" si="0"/>
        <v>0.997332</v>
      </c>
      <c r="C9" s="44"/>
      <c r="D9" s="69"/>
      <c r="E9" s="74"/>
    </row>
    <row r="10" spans="1:5" ht="12.95" customHeight="1">
      <c r="A10" s="82">
        <v>4</v>
      </c>
      <c r="B10" s="53">
        <f t="shared" si="0"/>
        <v>0.989328</v>
      </c>
      <c r="C10" s="44"/>
      <c r="D10" s="69"/>
      <c r="E10" s="74"/>
    </row>
    <row r="11" spans="1:5" ht="12.95" customHeight="1">
      <c r="A11" s="82">
        <v>6</v>
      </c>
      <c r="B11" s="53">
        <f t="shared" si="0"/>
        <v>0.975988</v>
      </c>
      <c r="C11" s="44"/>
      <c r="D11" s="69"/>
      <c r="E11" s="74"/>
    </row>
    <row r="12" spans="1:5" ht="12.95" customHeight="1">
      <c r="A12" s="82">
        <v>8</v>
      </c>
      <c r="B12" s="53">
        <f t="shared" si="0"/>
        <v>0.957312</v>
      </c>
      <c r="C12" s="44"/>
      <c r="D12" s="69"/>
      <c r="E12" s="74"/>
    </row>
    <row r="13" spans="1:5" ht="12.95" customHeight="1">
      <c r="A13" s="82">
        <v>10</v>
      </c>
      <c r="B13" s="53">
        <f t="shared" si="0"/>
        <v>0.9333</v>
      </c>
      <c r="C13" s="44"/>
      <c r="D13" s="69"/>
      <c r="E13" s="74"/>
    </row>
    <row r="14" spans="1:5" ht="12.95" customHeight="1">
      <c r="A14" s="82">
        <v>12</v>
      </c>
      <c r="B14" s="53">
        <f t="shared" si="0"/>
        <v>0.903952</v>
      </c>
      <c r="C14" s="44"/>
      <c r="D14" s="69"/>
      <c r="E14" s="74"/>
    </row>
    <row r="15" spans="1:5" ht="12.95" customHeight="1">
      <c r="A15" s="82">
        <v>15</v>
      </c>
      <c r="B15" s="53">
        <f t="shared" si="0"/>
        <v>0.849925</v>
      </c>
      <c r="C15" s="44"/>
      <c r="D15" s="69"/>
      <c r="E15" s="74"/>
    </row>
    <row r="16" spans="1:5" ht="12.95" customHeight="1">
      <c r="A16" s="85">
        <v>15</v>
      </c>
      <c r="B16" s="64">
        <f>0.000118*(A16^2)-0.0235*A16+1.18</f>
        <v>0.85405</v>
      </c>
      <c r="C16" s="44"/>
      <c r="D16" s="69"/>
      <c r="E16" s="74"/>
    </row>
    <row r="17" spans="1:5" ht="12.95" customHeight="1">
      <c r="A17" s="85">
        <v>30</v>
      </c>
      <c r="B17" s="64">
        <f aca="true" t="shared" si="1" ref="B17:B23">0.000118*(A17^2)-0.0235*A17+1.18</f>
        <v>0.5811999999999999</v>
      </c>
      <c r="C17" s="44"/>
      <c r="D17" s="69"/>
      <c r="E17" s="74"/>
    </row>
    <row r="18" spans="1:5" ht="12.95" customHeight="1">
      <c r="A18" s="85">
        <v>40</v>
      </c>
      <c r="B18" s="64">
        <f t="shared" si="1"/>
        <v>0.42879999999999996</v>
      </c>
      <c r="C18" s="44"/>
      <c r="D18" s="69"/>
      <c r="E18" s="74"/>
    </row>
    <row r="19" spans="1:5" ht="12.95" customHeight="1">
      <c r="A19" s="85">
        <v>50</v>
      </c>
      <c r="B19" s="64">
        <f t="shared" si="1"/>
        <v>0.2999999999999998</v>
      </c>
      <c r="C19" s="44"/>
      <c r="D19" s="69"/>
      <c r="E19" s="74"/>
    </row>
    <row r="20" spans="1:5" ht="12.95" customHeight="1">
      <c r="A20" s="85">
        <v>60</v>
      </c>
      <c r="B20" s="64">
        <f t="shared" si="1"/>
        <v>0.19479999999999997</v>
      </c>
      <c r="C20" s="44"/>
      <c r="D20" s="69"/>
      <c r="E20" s="74"/>
    </row>
    <row r="21" spans="1:5" ht="12.95" customHeight="1">
      <c r="A21" s="85">
        <v>70</v>
      </c>
      <c r="B21" s="64">
        <f t="shared" si="1"/>
        <v>0.11319999999999975</v>
      </c>
      <c r="C21" s="44"/>
      <c r="D21" s="69"/>
      <c r="E21" s="74"/>
    </row>
    <row r="22" spans="1:5" ht="12.95" customHeight="1">
      <c r="A22" s="85">
        <v>80</v>
      </c>
      <c r="B22" s="64">
        <f t="shared" si="1"/>
        <v>0.055199999999999916</v>
      </c>
      <c r="C22" s="44"/>
      <c r="D22" s="69"/>
      <c r="E22" s="74"/>
    </row>
    <row r="23" spans="1:5" ht="12.95" customHeight="1" thickBot="1">
      <c r="A23" s="98">
        <v>100</v>
      </c>
      <c r="B23" s="65">
        <f t="shared" si="1"/>
        <v>0.009999999999999787</v>
      </c>
      <c r="C23" s="49"/>
      <c r="D23" s="75"/>
      <c r="E23" s="76"/>
    </row>
    <row r="24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138</v>
      </c>
      <c r="C1" s="14" t="s">
        <v>5</v>
      </c>
      <c r="D1" s="15" t="s">
        <v>51</v>
      </c>
      <c r="E1" s="16" t="s">
        <v>52</v>
      </c>
    </row>
    <row r="2" spans="1:5" ht="30" customHeight="1">
      <c r="A2" s="17" t="s">
        <v>2</v>
      </c>
      <c r="B2" s="1" t="s">
        <v>50</v>
      </c>
      <c r="C2" s="41"/>
      <c r="D2" s="3" t="s">
        <v>53</v>
      </c>
      <c r="E2" s="30" t="s">
        <v>54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66</v>
      </c>
      <c r="C5" s="8" t="s">
        <v>6</v>
      </c>
      <c r="D5" s="10">
        <v>3</v>
      </c>
      <c r="E5" s="67"/>
    </row>
    <row r="6" spans="1:5" ht="30" customHeight="1" thickBot="1">
      <c r="A6" s="20" t="s">
        <v>11</v>
      </c>
      <c r="B6" s="127" t="s">
        <v>131</v>
      </c>
      <c r="C6" s="9" t="s">
        <v>0</v>
      </c>
      <c r="D6" s="11">
        <f>IF(D5&lt;0,"valor del indicador fuera de rango",IF(D5&lt;=1,-0.25*D5+1,IF(D5&lt;=5,-0.188*D5+0.938,"valor del indicador fuera rango")))</f>
        <v>0.3739999999999999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4">-0.25*A8+1</f>
        <v>1</v>
      </c>
      <c r="C8" s="69"/>
      <c r="D8" s="69"/>
      <c r="E8" s="74"/>
    </row>
    <row r="9" spans="1:5" ht="12.95" customHeight="1">
      <c r="A9" s="43">
        <v>0.1</v>
      </c>
      <c r="B9" s="53">
        <f t="shared" si="0"/>
        <v>0.975</v>
      </c>
      <c r="C9" s="44"/>
      <c r="D9" s="69"/>
      <c r="E9" s="74"/>
    </row>
    <row r="10" spans="1:5" ht="12.95" customHeight="1">
      <c r="A10" s="43">
        <v>0.2</v>
      </c>
      <c r="B10" s="53">
        <f t="shared" si="0"/>
        <v>0.95</v>
      </c>
      <c r="C10" s="44"/>
      <c r="D10" s="69"/>
      <c r="E10" s="74"/>
    </row>
    <row r="11" spans="1:5" ht="12.95" customHeight="1">
      <c r="A11" s="43">
        <v>0.3</v>
      </c>
      <c r="B11" s="53">
        <f t="shared" si="0"/>
        <v>0.925</v>
      </c>
      <c r="C11" s="44"/>
      <c r="D11" s="69"/>
      <c r="E11" s="74"/>
    </row>
    <row r="12" spans="1:5" ht="12.95" customHeight="1">
      <c r="A12" s="43">
        <v>0.4</v>
      </c>
      <c r="B12" s="53">
        <f t="shared" si="0"/>
        <v>0.9</v>
      </c>
      <c r="C12" s="44"/>
      <c r="D12" s="69"/>
      <c r="E12" s="74"/>
    </row>
    <row r="13" spans="1:5" ht="12.95" customHeight="1">
      <c r="A13" s="43">
        <v>0.5</v>
      </c>
      <c r="B13" s="53">
        <f t="shared" si="0"/>
        <v>0.875</v>
      </c>
      <c r="C13" s="44"/>
      <c r="D13" s="69"/>
      <c r="E13" s="74"/>
    </row>
    <row r="14" spans="1:5" ht="12.95" customHeight="1">
      <c r="A14" s="43">
        <f aca="true" t="shared" si="1" ref="A14:A31">+A13+0.25</f>
        <v>0.75</v>
      </c>
      <c r="B14" s="53">
        <f t="shared" si="0"/>
        <v>0.8125</v>
      </c>
      <c r="C14" s="44"/>
      <c r="D14" s="69"/>
      <c r="E14" s="74"/>
    </row>
    <row r="15" spans="1:5" ht="12.95" customHeight="1">
      <c r="A15" s="43">
        <f t="shared" si="1"/>
        <v>1</v>
      </c>
      <c r="B15" s="53">
        <f>-0.25*A15+1</f>
        <v>0.75</v>
      </c>
      <c r="C15" s="44"/>
      <c r="D15" s="69"/>
      <c r="E15" s="74"/>
    </row>
    <row r="16" spans="1:5" ht="12.95" customHeight="1">
      <c r="A16" s="45">
        <f t="shared" si="1"/>
        <v>1.25</v>
      </c>
      <c r="B16" s="64">
        <f>-0.188*A16+0.938</f>
        <v>0.703</v>
      </c>
      <c r="C16" s="44"/>
      <c r="D16" s="69"/>
      <c r="E16" s="74"/>
    </row>
    <row r="17" spans="1:5" ht="12.95" customHeight="1">
      <c r="A17" s="45">
        <f t="shared" si="1"/>
        <v>1.5</v>
      </c>
      <c r="B17" s="64">
        <f aca="true" t="shared" si="2" ref="B17:B30">-0.188*A17+0.938</f>
        <v>0.6559999999999999</v>
      </c>
      <c r="C17" s="44"/>
      <c r="D17" s="69"/>
      <c r="E17" s="74"/>
    </row>
    <row r="18" spans="1:5" ht="12.95" customHeight="1">
      <c r="A18" s="45">
        <f t="shared" si="1"/>
        <v>1.75</v>
      </c>
      <c r="B18" s="64">
        <f t="shared" si="2"/>
        <v>0.609</v>
      </c>
      <c r="C18" s="44"/>
      <c r="D18" s="69"/>
      <c r="E18" s="74"/>
    </row>
    <row r="19" spans="1:5" ht="12.95" customHeight="1">
      <c r="A19" s="45">
        <f t="shared" si="1"/>
        <v>2</v>
      </c>
      <c r="B19" s="64">
        <f t="shared" si="2"/>
        <v>0.5619999999999999</v>
      </c>
      <c r="C19" s="44"/>
      <c r="D19" s="69"/>
      <c r="E19" s="74"/>
    </row>
    <row r="20" spans="1:5" ht="12.95" customHeight="1">
      <c r="A20" s="45">
        <f t="shared" si="1"/>
        <v>2.25</v>
      </c>
      <c r="B20" s="64">
        <f t="shared" si="2"/>
        <v>0.5149999999999999</v>
      </c>
      <c r="C20" s="44"/>
      <c r="D20" s="69"/>
      <c r="E20" s="74"/>
    </row>
    <row r="21" spans="1:5" ht="12.95" customHeight="1">
      <c r="A21" s="45">
        <f t="shared" si="1"/>
        <v>2.5</v>
      </c>
      <c r="B21" s="64">
        <f t="shared" si="2"/>
        <v>0.46799999999999997</v>
      </c>
      <c r="C21" s="44"/>
      <c r="D21" s="69"/>
      <c r="E21" s="74"/>
    </row>
    <row r="22" spans="1:5" ht="12.95" customHeight="1">
      <c r="A22" s="45">
        <f t="shared" si="1"/>
        <v>2.75</v>
      </c>
      <c r="B22" s="64">
        <f t="shared" si="2"/>
        <v>0.42099999999999993</v>
      </c>
      <c r="C22" s="44"/>
      <c r="D22" s="69"/>
      <c r="E22" s="74"/>
    </row>
    <row r="23" spans="1:5" ht="12.95" customHeight="1">
      <c r="A23" s="45">
        <f t="shared" si="1"/>
        <v>3</v>
      </c>
      <c r="B23" s="64">
        <f t="shared" si="2"/>
        <v>0.3739999999999999</v>
      </c>
      <c r="C23" s="44"/>
      <c r="D23" s="69"/>
      <c r="E23" s="74"/>
    </row>
    <row r="24" spans="1:5" ht="12.95" customHeight="1">
      <c r="A24" s="45">
        <f t="shared" si="1"/>
        <v>3.25</v>
      </c>
      <c r="B24" s="64">
        <f t="shared" si="2"/>
        <v>0.32699999999999996</v>
      </c>
      <c r="C24" s="44"/>
      <c r="D24" s="69"/>
      <c r="E24" s="74"/>
    </row>
    <row r="25" spans="1:5" ht="12.95" customHeight="1">
      <c r="A25" s="45">
        <f t="shared" si="1"/>
        <v>3.5</v>
      </c>
      <c r="B25" s="64">
        <f t="shared" si="2"/>
        <v>0.2799999999999999</v>
      </c>
      <c r="C25" s="44"/>
      <c r="D25" s="69"/>
      <c r="E25" s="74"/>
    </row>
    <row r="26" spans="1:5" ht="12.95" customHeight="1">
      <c r="A26" s="45">
        <f t="shared" si="1"/>
        <v>3.75</v>
      </c>
      <c r="B26" s="64">
        <f t="shared" si="2"/>
        <v>0.23299999999999998</v>
      </c>
      <c r="C26" s="44"/>
      <c r="D26" s="69"/>
      <c r="E26" s="74"/>
    </row>
    <row r="27" spans="1:5" ht="12.95" customHeight="1">
      <c r="A27" s="45">
        <f t="shared" si="1"/>
        <v>4</v>
      </c>
      <c r="B27" s="64">
        <f t="shared" si="2"/>
        <v>0.18599999999999994</v>
      </c>
      <c r="C27" s="44"/>
      <c r="D27" s="69"/>
      <c r="E27" s="74"/>
    </row>
    <row r="28" spans="1:5" ht="12.95" customHeight="1">
      <c r="A28" s="45">
        <f t="shared" si="1"/>
        <v>4.25</v>
      </c>
      <c r="B28" s="64">
        <f t="shared" si="2"/>
        <v>0.1389999999999999</v>
      </c>
      <c r="C28" s="44"/>
      <c r="D28" s="69"/>
      <c r="E28" s="74"/>
    </row>
    <row r="29" spans="1:5" ht="12.95" customHeight="1">
      <c r="A29" s="45">
        <f t="shared" si="1"/>
        <v>4.5</v>
      </c>
      <c r="B29" s="64">
        <f t="shared" si="2"/>
        <v>0.09199999999999997</v>
      </c>
      <c r="C29" s="44"/>
      <c r="D29" s="69"/>
      <c r="E29" s="74"/>
    </row>
    <row r="30" spans="1:5" ht="12.95" customHeight="1">
      <c r="A30" s="45">
        <f t="shared" si="1"/>
        <v>4.75</v>
      </c>
      <c r="B30" s="64">
        <f t="shared" si="2"/>
        <v>0.04499999999999993</v>
      </c>
      <c r="C30" s="44"/>
      <c r="D30" s="69"/>
      <c r="E30" s="74"/>
    </row>
    <row r="31" spans="1:5" ht="12.95" customHeight="1" thickBot="1">
      <c r="A31" s="100">
        <f t="shared" si="1"/>
        <v>5</v>
      </c>
      <c r="B31" s="65">
        <v>0</v>
      </c>
      <c r="C31" s="49"/>
      <c r="D31" s="75"/>
      <c r="E31" s="76"/>
    </row>
    <row r="32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7">
      <selection activeCell="B32" sqref="B32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139</v>
      </c>
      <c r="C1" s="14" t="s">
        <v>5</v>
      </c>
      <c r="D1" s="15" t="s">
        <v>59</v>
      </c>
      <c r="E1" s="16" t="s">
        <v>60</v>
      </c>
    </row>
    <row r="2" spans="1:5" ht="30" customHeight="1">
      <c r="A2" s="17" t="s">
        <v>2</v>
      </c>
      <c r="B2" s="1" t="s">
        <v>58</v>
      </c>
      <c r="C2" s="41"/>
      <c r="D2" s="3" t="s">
        <v>62</v>
      </c>
      <c r="E2" s="30" t="s">
        <v>61</v>
      </c>
    </row>
    <row r="3" spans="1:5" ht="30" customHeight="1">
      <c r="A3" s="17" t="s">
        <v>10</v>
      </c>
      <c r="B3" s="1"/>
      <c r="C3" s="41"/>
      <c r="D3" s="3"/>
      <c r="E3" s="30"/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68</v>
      </c>
      <c r="C5" s="8" t="s">
        <v>6</v>
      </c>
      <c r="D5" s="10">
        <v>10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IF(D5&lt;0,"valor del indicador fuera de rango",IF(D5&lt;=5,(-0.1*(D5))+1,IF(D5&lt;=25,(0.00125*(D5^2))-(0.0625*D5)+0.781,"valor del indicador fuera rango")))</f>
        <v>0.281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0</v>
      </c>
      <c r="B8" s="53">
        <f aca="true" t="shared" si="0" ref="B8:B13">-0.1*A8+1</f>
        <v>1</v>
      </c>
      <c r="C8" s="69"/>
      <c r="D8" s="69"/>
      <c r="E8" s="74"/>
    </row>
    <row r="9" spans="1:5" ht="12.95" customHeight="1">
      <c r="A9" s="43">
        <v>1</v>
      </c>
      <c r="B9" s="53">
        <f t="shared" si="0"/>
        <v>0.9</v>
      </c>
      <c r="C9" s="44"/>
      <c r="D9" s="69"/>
      <c r="E9" s="74"/>
    </row>
    <row r="10" spans="1:5" ht="12.95" customHeight="1">
      <c r="A10" s="43">
        <v>2</v>
      </c>
      <c r="B10" s="53">
        <f t="shared" si="0"/>
        <v>0.8</v>
      </c>
      <c r="C10" s="44"/>
      <c r="D10" s="69"/>
      <c r="E10" s="74"/>
    </row>
    <row r="11" spans="1:5" ht="12.95" customHeight="1">
      <c r="A11" s="43">
        <v>3</v>
      </c>
      <c r="B11" s="53">
        <f t="shared" si="0"/>
        <v>0.7</v>
      </c>
      <c r="C11" s="44"/>
      <c r="D11" s="69"/>
      <c r="E11" s="74"/>
    </row>
    <row r="12" spans="1:5" ht="12.95" customHeight="1">
      <c r="A12" s="43">
        <v>4</v>
      </c>
      <c r="B12" s="53">
        <f t="shared" si="0"/>
        <v>0.6</v>
      </c>
      <c r="C12" s="44"/>
      <c r="D12" s="69"/>
      <c r="E12" s="74"/>
    </row>
    <row r="13" spans="1:5" ht="12.95" customHeight="1">
      <c r="A13" s="43">
        <v>5</v>
      </c>
      <c r="B13" s="53">
        <f t="shared" si="0"/>
        <v>0.5</v>
      </c>
      <c r="C13" s="44"/>
      <c r="D13" s="69"/>
      <c r="E13" s="74"/>
    </row>
    <row r="14" spans="1:5" ht="12.95" customHeight="1">
      <c r="A14" s="45">
        <v>6</v>
      </c>
      <c r="B14" s="64">
        <f>0.00125*A14^2-0.0625*A14+0.781</f>
        <v>0.451</v>
      </c>
      <c r="C14" s="44"/>
      <c r="D14" s="69"/>
      <c r="E14" s="74"/>
    </row>
    <row r="15" spans="1:5" ht="12.95" customHeight="1">
      <c r="A15" s="45">
        <v>7</v>
      </c>
      <c r="B15" s="64">
        <f>0.00125*A15^2-0.0625*A15+0.781</f>
        <v>0.40475000000000005</v>
      </c>
      <c r="C15" s="44"/>
      <c r="D15" s="69"/>
      <c r="E15" s="74"/>
    </row>
    <row r="16" spans="1:5" ht="12.95" customHeight="1">
      <c r="A16" s="45">
        <f aca="true" t="shared" si="1" ref="A16:A24">+A15+2</f>
        <v>9</v>
      </c>
      <c r="B16" s="64">
        <f>0.00125*A16^2-0.0625*A16+0.781</f>
        <v>0.31975000000000003</v>
      </c>
      <c r="C16" s="44"/>
      <c r="D16" s="69"/>
      <c r="E16" s="74"/>
    </row>
    <row r="17" spans="1:5" ht="12.95" customHeight="1">
      <c r="A17" s="45">
        <f t="shared" si="1"/>
        <v>11</v>
      </c>
      <c r="B17" s="64">
        <f aca="true" t="shared" si="2" ref="B17:B24">0.00125*A17^2-0.0625*A17+0.781</f>
        <v>0.24475000000000002</v>
      </c>
      <c r="C17" s="44"/>
      <c r="D17" s="69"/>
      <c r="E17" s="74"/>
    </row>
    <row r="18" spans="1:5" ht="12.95" customHeight="1">
      <c r="A18" s="45">
        <f t="shared" si="1"/>
        <v>13</v>
      </c>
      <c r="B18" s="64">
        <f t="shared" si="2"/>
        <v>0.17974999999999997</v>
      </c>
      <c r="C18" s="44"/>
      <c r="D18" s="69"/>
      <c r="E18" s="74"/>
    </row>
    <row r="19" spans="1:5" ht="12.95" customHeight="1">
      <c r="A19" s="45">
        <f t="shared" si="1"/>
        <v>15</v>
      </c>
      <c r="B19" s="64">
        <f t="shared" si="2"/>
        <v>0.12475000000000003</v>
      </c>
      <c r="C19" s="44"/>
      <c r="D19" s="69"/>
      <c r="E19" s="74"/>
    </row>
    <row r="20" spans="1:5" ht="12.95" customHeight="1">
      <c r="A20" s="45">
        <f t="shared" si="1"/>
        <v>17</v>
      </c>
      <c r="B20" s="64">
        <f t="shared" si="2"/>
        <v>0.0797500000000001</v>
      </c>
      <c r="C20" s="44"/>
      <c r="D20" s="69"/>
      <c r="E20" s="74"/>
    </row>
    <row r="21" spans="1:5" ht="12.95" customHeight="1">
      <c r="A21" s="45">
        <f t="shared" si="1"/>
        <v>19</v>
      </c>
      <c r="B21" s="64">
        <f t="shared" si="2"/>
        <v>0.044749999999999956</v>
      </c>
      <c r="C21" s="44"/>
      <c r="D21" s="69"/>
      <c r="E21" s="74"/>
    </row>
    <row r="22" spans="1:5" ht="12.95" customHeight="1">
      <c r="A22" s="45">
        <f t="shared" si="1"/>
        <v>21</v>
      </c>
      <c r="B22" s="64">
        <f t="shared" si="2"/>
        <v>0.019750000000000045</v>
      </c>
      <c r="C22" s="44"/>
      <c r="D22" s="69"/>
      <c r="E22" s="74"/>
    </row>
    <row r="23" spans="1:5" ht="12.95" customHeight="1">
      <c r="A23" s="45">
        <f t="shared" si="1"/>
        <v>23</v>
      </c>
      <c r="B23" s="64">
        <f t="shared" si="2"/>
        <v>0.004750000000000032</v>
      </c>
      <c r="C23" s="44"/>
      <c r="D23" s="69"/>
      <c r="E23" s="74"/>
    </row>
    <row r="24" spans="1:5" ht="12.95" customHeight="1" thickBot="1">
      <c r="A24" s="100">
        <f t="shared" si="1"/>
        <v>25</v>
      </c>
      <c r="B24" s="65">
        <f t="shared" si="2"/>
        <v>-0.00024999999999997247</v>
      </c>
      <c r="C24" s="49"/>
      <c r="D24" s="75"/>
      <c r="E24" s="76"/>
    </row>
    <row r="25" ht="12.95" customHeight="1" thickTop="1"/>
    <row r="26" ht="12.95" customHeight="1" thickBot="1"/>
    <row r="27" spans="1:5" ht="30" customHeight="1" thickTop="1">
      <c r="A27" s="12" t="s">
        <v>7</v>
      </c>
      <c r="B27" s="13">
        <v>140</v>
      </c>
      <c r="C27" s="14" t="s">
        <v>5</v>
      </c>
      <c r="D27" s="15" t="s">
        <v>59</v>
      </c>
      <c r="E27" s="16" t="s">
        <v>60</v>
      </c>
    </row>
    <row r="28" spans="1:5" ht="30" customHeight="1">
      <c r="A28" s="17" t="s">
        <v>2</v>
      </c>
      <c r="B28" s="1"/>
      <c r="C28" s="41"/>
      <c r="D28" s="3" t="s">
        <v>62</v>
      </c>
      <c r="E28" s="30" t="s">
        <v>61</v>
      </c>
    </row>
    <row r="29" spans="1:5" ht="30" customHeight="1">
      <c r="A29" s="17" t="s">
        <v>10</v>
      </c>
      <c r="B29" s="1"/>
      <c r="C29" s="41"/>
      <c r="D29" s="3"/>
      <c r="E29" s="30"/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68</v>
      </c>
      <c r="C31" s="8" t="s">
        <v>6</v>
      </c>
      <c r="D31" s="10">
        <v>11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IF(D31&lt;0,"valor del indicador fuera de rango",IF(D31&lt;=5,(-0.1*(D31^2))+1,IF(D31&lt;=25,(0.00125*(D31^2))-(0.0625*D31)+0.781,"valor del indicador fuera rango")))</f>
        <v>0.24475000000000002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0</v>
      </c>
      <c r="B34" s="53">
        <f aca="true" t="shared" si="3" ref="B34:B39">-0.1*A34+1</f>
        <v>1</v>
      </c>
      <c r="C34" s="69"/>
      <c r="D34" s="69"/>
      <c r="E34" s="74"/>
    </row>
    <row r="35" spans="1:5" ht="12.95" customHeight="1">
      <c r="A35" s="43">
        <v>1</v>
      </c>
      <c r="B35" s="53">
        <f t="shared" si="3"/>
        <v>0.9</v>
      </c>
      <c r="C35" s="44"/>
      <c r="D35" s="69"/>
      <c r="E35" s="74"/>
    </row>
    <row r="36" spans="1:5" ht="12.95" customHeight="1">
      <c r="A36" s="43">
        <v>2</v>
      </c>
      <c r="B36" s="53">
        <f t="shared" si="3"/>
        <v>0.8</v>
      </c>
      <c r="C36" s="44"/>
      <c r="D36" s="69"/>
      <c r="E36" s="74"/>
    </row>
    <row r="37" spans="1:5" ht="12.95" customHeight="1">
      <c r="A37" s="43">
        <v>3</v>
      </c>
      <c r="B37" s="53">
        <f t="shared" si="3"/>
        <v>0.7</v>
      </c>
      <c r="C37" s="44"/>
      <c r="D37" s="69"/>
      <c r="E37" s="74"/>
    </row>
    <row r="38" spans="1:5" ht="12.95" customHeight="1">
      <c r="A38" s="43">
        <v>4</v>
      </c>
      <c r="B38" s="53">
        <f t="shared" si="3"/>
        <v>0.6</v>
      </c>
      <c r="C38" s="44"/>
      <c r="D38" s="69"/>
      <c r="E38" s="74"/>
    </row>
    <row r="39" spans="1:5" ht="12.95" customHeight="1">
      <c r="A39" s="43">
        <v>5</v>
      </c>
      <c r="B39" s="53">
        <f t="shared" si="3"/>
        <v>0.5</v>
      </c>
      <c r="C39" s="44"/>
      <c r="D39" s="69"/>
      <c r="E39" s="74"/>
    </row>
    <row r="40" spans="1:5" ht="12.95" customHeight="1">
      <c r="A40" s="45">
        <v>6</v>
      </c>
      <c r="B40" s="64">
        <f>0.00125*A40^2-0.0625*A40+0.781</f>
        <v>0.451</v>
      </c>
      <c r="C40" s="44"/>
      <c r="D40" s="69"/>
      <c r="E40" s="74"/>
    </row>
    <row r="41" spans="1:5" ht="12.95" customHeight="1">
      <c r="A41" s="45">
        <v>7</v>
      </c>
      <c r="B41" s="64">
        <f>0.00125*A41^2-0.0625*A41+0.781</f>
        <v>0.40475000000000005</v>
      </c>
      <c r="C41" s="44"/>
      <c r="D41" s="69"/>
      <c r="E41" s="74"/>
    </row>
    <row r="42" spans="1:5" ht="12.95" customHeight="1">
      <c r="A42" s="45">
        <f aca="true" t="shared" si="4" ref="A42:A50">+A41+2</f>
        <v>9</v>
      </c>
      <c r="B42" s="64">
        <f>0.00125*A42^2-0.0625*A42+0.781</f>
        <v>0.31975000000000003</v>
      </c>
      <c r="C42" s="44"/>
      <c r="D42" s="69"/>
      <c r="E42" s="74"/>
    </row>
    <row r="43" spans="1:5" ht="12.95" customHeight="1">
      <c r="A43" s="45">
        <f t="shared" si="4"/>
        <v>11</v>
      </c>
      <c r="B43" s="64">
        <f aca="true" t="shared" si="5" ref="B43:B50">0.00125*A43^2-0.0625*A43+0.781</f>
        <v>0.24475000000000002</v>
      </c>
      <c r="C43" s="44"/>
      <c r="D43" s="69"/>
      <c r="E43" s="74"/>
    </row>
    <row r="44" spans="1:5" ht="12.95" customHeight="1">
      <c r="A44" s="45">
        <f t="shared" si="4"/>
        <v>13</v>
      </c>
      <c r="B44" s="64">
        <f t="shared" si="5"/>
        <v>0.17974999999999997</v>
      </c>
      <c r="C44" s="44"/>
      <c r="D44" s="69"/>
      <c r="E44" s="74"/>
    </row>
    <row r="45" spans="1:5" ht="12.95" customHeight="1">
      <c r="A45" s="45">
        <f t="shared" si="4"/>
        <v>15</v>
      </c>
      <c r="B45" s="64">
        <f t="shared" si="5"/>
        <v>0.12475000000000003</v>
      </c>
      <c r="C45" s="44"/>
      <c r="D45" s="69"/>
      <c r="E45" s="74"/>
    </row>
    <row r="46" spans="1:5" ht="12.95" customHeight="1">
      <c r="A46" s="45">
        <f t="shared" si="4"/>
        <v>17</v>
      </c>
      <c r="B46" s="64">
        <f t="shared" si="5"/>
        <v>0.0797500000000001</v>
      </c>
      <c r="C46" s="44"/>
      <c r="D46" s="69"/>
      <c r="E46" s="74"/>
    </row>
    <row r="47" spans="1:5" ht="12.95" customHeight="1">
      <c r="A47" s="45">
        <f t="shared" si="4"/>
        <v>19</v>
      </c>
      <c r="B47" s="64">
        <f t="shared" si="5"/>
        <v>0.044749999999999956</v>
      </c>
      <c r="C47" s="44"/>
      <c r="D47" s="69"/>
      <c r="E47" s="74"/>
    </row>
    <row r="48" spans="1:5" ht="12.95" customHeight="1">
      <c r="A48" s="45">
        <f t="shared" si="4"/>
        <v>21</v>
      </c>
      <c r="B48" s="64">
        <f t="shared" si="5"/>
        <v>0.019750000000000045</v>
      </c>
      <c r="C48" s="44"/>
      <c r="D48" s="69"/>
      <c r="E48" s="74"/>
    </row>
    <row r="49" spans="1:5" ht="12.95" customHeight="1">
      <c r="A49" s="45">
        <f t="shared" si="4"/>
        <v>23</v>
      </c>
      <c r="B49" s="64">
        <f t="shared" si="5"/>
        <v>0.004750000000000032</v>
      </c>
      <c r="C49" s="44"/>
      <c r="D49" s="69"/>
      <c r="E49" s="74"/>
    </row>
    <row r="50" spans="1:5" ht="12.95" customHeight="1" thickBot="1">
      <c r="A50" s="100">
        <f t="shared" si="4"/>
        <v>25</v>
      </c>
      <c r="B50" s="65">
        <f t="shared" si="5"/>
        <v>-0.00024999999999997247</v>
      </c>
      <c r="C50" s="49"/>
      <c r="D50" s="75"/>
      <c r="E50" s="76"/>
    </row>
    <row r="51" ht="12.95" customHeight="1" thickTop="1"/>
  </sheetData>
  <mergeCells count="2">
    <mergeCell ref="C7:E7"/>
    <mergeCell ref="C33:E33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B6" sqref="B6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141</v>
      </c>
      <c r="C1" s="14" t="s">
        <v>5</v>
      </c>
      <c r="D1" s="15" t="s">
        <v>79</v>
      </c>
      <c r="E1" s="16" t="s">
        <v>80</v>
      </c>
    </row>
    <row r="2" spans="1:5" ht="30" customHeight="1">
      <c r="A2" s="17" t="s">
        <v>2</v>
      </c>
      <c r="B2" s="1"/>
      <c r="C2" s="41"/>
      <c r="D2" s="3" t="s">
        <v>32</v>
      </c>
      <c r="E2" s="30" t="s">
        <v>64</v>
      </c>
    </row>
    <row r="3" spans="1:5" ht="30" customHeight="1">
      <c r="A3" s="17" t="s">
        <v>10</v>
      </c>
      <c r="B3" s="1"/>
      <c r="C3" s="41"/>
      <c r="D3" s="3" t="s">
        <v>81</v>
      </c>
      <c r="E3" s="30" t="s">
        <v>65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78</v>
      </c>
      <c r="C5" s="8" t="s">
        <v>6</v>
      </c>
      <c r="D5" s="10">
        <v>32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rango",IF(D5&lt;=0,-0.000045*D5^2+0.0055*D5+1,IF(D5&lt;=20,1,IF(D5&lt;=100,-0.000156*D5^2+0.00625*D5+0.938,"valor del indicador fuera rango"))))</f>
        <v>0.978256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7">
        <f>-0.000045*(A8^2)+0.0055*A8+1</f>
        <v>0</v>
      </c>
      <c r="C8" s="69"/>
      <c r="D8" s="69"/>
      <c r="E8" s="74"/>
    </row>
    <row r="9" spans="1:5" ht="12.95" customHeight="1">
      <c r="A9" s="43">
        <f>+A8+12</f>
        <v>-88</v>
      </c>
      <c r="B9" s="37">
        <f aca="true" t="shared" si="0" ref="B9:B16">-0.000045*(A9^2)+0.0055*A9+1</f>
        <v>0.16752</v>
      </c>
      <c r="C9" s="44"/>
      <c r="D9" s="69"/>
      <c r="E9" s="74"/>
    </row>
    <row r="10" spans="1:5" ht="12.95" customHeight="1">
      <c r="A10" s="43">
        <f aca="true" t="shared" si="1" ref="A10:A24">+A9+12</f>
        <v>-76</v>
      </c>
      <c r="B10" s="37">
        <f t="shared" si="0"/>
        <v>0.3220799999999999</v>
      </c>
      <c r="C10" s="44"/>
      <c r="D10" s="69"/>
      <c r="E10" s="74"/>
    </row>
    <row r="11" spans="1:5" ht="12.95" customHeight="1">
      <c r="A11" s="43">
        <f t="shared" si="1"/>
        <v>-64</v>
      </c>
      <c r="B11" s="37">
        <f t="shared" si="0"/>
        <v>0.46368</v>
      </c>
      <c r="C11" s="44"/>
      <c r="D11" s="69"/>
      <c r="E11" s="74"/>
    </row>
    <row r="12" spans="1:5" ht="12.95" customHeight="1">
      <c r="A12" s="43">
        <f t="shared" si="1"/>
        <v>-52</v>
      </c>
      <c r="B12" s="37">
        <f t="shared" si="0"/>
        <v>0.59232</v>
      </c>
      <c r="C12" s="44"/>
      <c r="D12" s="69"/>
      <c r="E12" s="74"/>
    </row>
    <row r="13" spans="1:5" ht="12.95" customHeight="1">
      <c r="A13" s="43">
        <f t="shared" si="1"/>
        <v>-40</v>
      </c>
      <c r="B13" s="37">
        <f t="shared" si="0"/>
        <v>0.708</v>
      </c>
      <c r="C13" s="44"/>
      <c r="D13" s="69"/>
      <c r="E13" s="74"/>
    </row>
    <row r="14" spans="1:5" ht="12.95" customHeight="1">
      <c r="A14" s="43">
        <f t="shared" si="1"/>
        <v>-28</v>
      </c>
      <c r="B14" s="37">
        <f t="shared" si="0"/>
        <v>0.81072</v>
      </c>
      <c r="C14" s="44"/>
      <c r="D14" s="69"/>
      <c r="E14" s="74"/>
    </row>
    <row r="15" spans="1:5" ht="12.95" customHeight="1">
      <c r="A15" s="43">
        <f t="shared" si="1"/>
        <v>-16</v>
      </c>
      <c r="B15" s="37">
        <f t="shared" si="0"/>
        <v>0.90048</v>
      </c>
      <c r="C15" s="44"/>
      <c r="D15" s="69"/>
      <c r="E15" s="74"/>
    </row>
    <row r="16" spans="1:5" ht="12.95" customHeight="1">
      <c r="A16" s="43">
        <f t="shared" si="1"/>
        <v>-4</v>
      </c>
      <c r="B16" s="37">
        <f t="shared" si="0"/>
        <v>0.97728</v>
      </c>
      <c r="C16" s="44"/>
      <c r="D16" s="69"/>
      <c r="E16" s="74"/>
    </row>
    <row r="17" spans="1:5" ht="12.95" customHeight="1">
      <c r="A17" s="45">
        <f t="shared" si="1"/>
        <v>8</v>
      </c>
      <c r="B17" s="46">
        <v>1</v>
      </c>
      <c r="C17" s="44"/>
      <c r="D17" s="69"/>
      <c r="E17" s="74"/>
    </row>
    <row r="18" spans="1:5" ht="12.95" customHeight="1">
      <c r="A18" s="45">
        <f t="shared" si="1"/>
        <v>20</v>
      </c>
      <c r="B18" s="46">
        <v>1</v>
      </c>
      <c r="C18" s="44"/>
      <c r="D18" s="69"/>
      <c r="E18" s="74"/>
    </row>
    <row r="19" spans="1:5" ht="12.95" customHeight="1">
      <c r="A19" s="47">
        <f t="shared" si="1"/>
        <v>32</v>
      </c>
      <c r="B19" s="38">
        <f>-0.000156*(A19^2)+0.00625*A19+0.938</f>
        <v>0.978256</v>
      </c>
      <c r="C19" s="44"/>
      <c r="D19" s="69"/>
      <c r="E19" s="74"/>
    </row>
    <row r="20" spans="1:5" ht="12.95" customHeight="1">
      <c r="A20" s="47">
        <f t="shared" si="1"/>
        <v>44</v>
      </c>
      <c r="B20" s="38">
        <f aca="true" t="shared" si="2" ref="B20:B25">-0.000156*(A20^2)+0.00625*A20+0.938</f>
        <v>0.910984</v>
      </c>
      <c r="C20" s="44"/>
      <c r="D20" s="69"/>
      <c r="E20" s="74"/>
    </row>
    <row r="21" spans="1:5" ht="12.95" customHeight="1">
      <c r="A21" s="47">
        <f t="shared" si="1"/>
        <v>56</v>
      </c>
      <c r="B21" s="38">
        <f t="shared" si="2"/>
        <v>0.7987839999999999</v>
      </c>
      <c r="C21" s="44"/>
      <c r="D21" s="69"/>
      <c r="E21" s="74"/>
    </row>
    <row r="22" spans="1:5" ht="12.95" customHeight="1">
      <c r="A22" s="47">
        <f t="shared" si="1"/>
        <v>68</v>
      </c>
      <c r="B22" s="38">
        <f t="shared" si="2"/>
        <v>0.641656</v>
      </c>
      <c r="C22" s="44"/>
      <c r="D22" s="69"/>
      <c r="E22" s="74"/>
    </row>
    <row r="23" spans="1:5" ht="12.95" customHeight="1">
      <c r="A23" s="47">
        <f t="shared" si="1"/>
        <v>80</v>
      </c>
      <c r="B23" s="38">
        <f t="shared" si="2"/>
        <v>0.4396</v>
      </c>
      <c r="C23" s="44"/>
      <c r="D23" s="69"/>
      <c r="E23" s="74"/>
    </row>
    <row r="24" spans="1:5" ht="12.95" customHeight="1">
      <c r="A24" s="47">
        <f t="shared" si="1"/>
        <v>92</v>
      </c>
      <c r="B24" s="38">
        <f t="shared" si="2"/>
        <v>0.192616</v>
      </c>
      <c r="C24" s="44"/>
      <c r="D24" s="69"/>
      <c r="E24" s="74"/>
    </row>
    <row r="25" spans="1:5" ht="12.95" customHeight="1" thickBot="1">
      <c r="A25" s="48">
        <v>100</v>
      </c>
      <c r="B25" s="39">
        <f t="shared" si="2"/>
        <v>0.0029999999999998916</v>
      </c>
      <c r="C25" s="49"/>
      <c r="D25" s="75"/>
      <c r="E25" s="76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2"/>
  <sheetViews>
    <sheetView zoomScale="75" zoomScaleNormal="75" workbookViewId="0" topLeftCell="A94">
      <selection activeCell="B84" sqref="B84"/>
    </sheetView>
  </sheetViews>
  <sheetFormatPr defaultColWidth="11.421875" defaultRowHeight="12.75" customHeight="1"/>
  <cols>
    <col min="1" max="1" width="25.7109375" style="66" customWidth="1"/>
    <col min="2" max="2" width="40.7109375" style="66" customWidth="1"/>
    <col min="3" max="5" width="22.7109375" style="66" customWidth="1"/>
    <col min="6" max="16384" width="11.421875" style="66" customWidth="1"/>
  </cols>
  <sheetData>
    <row r="1" spans="1:5" ht="30" customHeight="1" thickTop="1">
      <c r="A1" s="12" t="s">
        <v>7</v>
      </c>
      <c r="B1" s="13">
        <v>142</v>
      </c>
      <c r="C1" s="14" t="s">
        <v>5</v>
      </c>
      <c r="D1" s="15" t="s">
        <v>82</v>
      </c>
      <c r="E1" s="16" t="s">
        <v>83</v>
      </c>
    </row>
    <row r="2" spans="1:5" ht="30" customHeight="1">
      <c r="A2" s="17" t="s">
        <v>2</v>
      </c>
      <c r="B2" s="1" t="s">
        <v>87</v>
      </c>
      <c r="C2" s="41"/>
      <c r="D2" s="3" t="s">
        <v>84</v>
      </c>
      <c r="E2" s="30" t="s">
        <v>85</v>
      </c>
    </row>
    <row r="3" spans="1:5" ht="30" customHeight="1">
      <c r="A3" s="17" t="s">
        <v>10</v>
      </c>
      <c r="B3" s="1"/>
      <c r="C3" s="41"/>
      <c r="D3" s="3" t="s">
        <v>86</v>
      </c>
      <c r="E3" s="30" t="s">
        <v>12</v>
      </c>
    </row>
    <row r="4" spans="1:5" ht="30" customHeight="1" thickBot="1">
      <c r="A4" s="17" t="s">
        <v>3</v>
      </c>
      <c r="B4" s="1"/>
      <c r="C4" s="42"/>
      <c r="D4" s="31"/>
      <c r="E4" s="32"/>
    </row>
    <row r="5" spans="1:5" ht="30" customHeight="1">
      <c r="A5" s="17" t="s">
        <v>4</v>
      </c>
      <c r="B5" s="1" t="s">
        <v>78</v>
      </c>
      <c r="C5" s="8" t="s">
        <v>6</v>
      </c>
      <c r="D5" s="10">
        <v>90</v>
      </c>
      <c r="E5" s="67"/>
    </row>
    <row r="6" spans="1:5" ht="30" customHeight="1" thickBot="1">
      <c r="A6" s="20" t="s">
        <v>11</v>
      </c>
      <c r="B6" s="127" t="s">
        <v>129</v>
      </c>
      <c r="C6" s="9" t="s">
        <v>0</v>
      </c>
      <c r="D6" s="11">
        <f>IF(D5&lt;-100,"valor del indicador fuera de rango",IF(D5&lt;=-50,0.0001*(D5^2)+(0.02*D5)+1.5,IF(D5&lt;=0,(-0.0004*(D5^2))-(0.02*D5)+0.75,IF(D5&lt;=100,0.000075*(D5^2)-0.015*D5+0.75,"valor del indicador fuera rango"))))</f>
        <v>0.007500000000000062</v>
      </c>
      <c r="E6" s="68"/>
    </row>
    <row r="7" spans="1:5" ht="30" customHeight="1">
      <c r="A7" s="23" t="s">
        <v>9</v>
      </c>
      <c r="B7" s="7" t="s">
        <v>0</v>
      </c>
      <c r="C7" s="131" t="s">
        <v>8</v>
      </c>
      <c r="D7" s="132"/>
      <c r="E7" s="133"/>
    </row>
    <row r="8" spans="1:5" ht="12.95" customHeight="1">
      <c r="A8" s="43">
        <v>-100</v>
      </c>
      <c r="B8" s="36">
        <f>0.0001*(A8^2)+0.02*(A8)+1.5</f>
        <v>0.5</v>
      </c>
      <c r="C8" s="69"/>
      <c r="D8" s="69"/>
      <c r="E8" s="74"/>
    </row>
    <row r="9" spans="1:5" ht="12.95" customHeight="1">
      <c r="A9" s="43">
        <v>-80</v>
      </c>
      <c r="B9" s="36">
        <f>0.0001*(A9^2)+0.02*(A9)+1.5</f>
        <v>0.5399999999999999</v>
      </c>
      <c r="C9" s="44"/>
      <c r="D9" s="69"/>
      <c r="E9" s="74"/>
    </row>
    <row r="10" spans="1:5" ht="12.95" customHeight="1">
      <c r="A10" s="43">
        <v>-60</v>
      </c>
      <c r="B10" s="36">
        <f>0.0001*(A10^2)+0.02*(A10)+1.5</f>
        <v>0.6600000000000001</v>
      </c>
      <c r="C10" s="44"/>
      <c r="D10" s="69"/>
      <c r="E10" s="74"/>
    </row>
    <row r="11" spans="1:5" ht="12.95" customHeight="1">
      <c r="A11" s="43">
        <v>-55</v>
      </c>
      <c r="B11" s="36">
        <f>0.0001*(A11^2)+0.02*(A11)+1.5</f>
        <v>0.7024999999999999</v>
      </c>
      <c r="C11" s="44"/>
      <c r="D11" s="69"/>
      <c r="E11" s="74"/>
    </row>
    <row r="12" spans="1:5" ht="12.95" customHeight="1">
      <c r="A12" s="43">
        <v>-50</v>
      </c>
      <c r="B12" s="36">
        <f>0.0001*(A12^2)+0.02*(A12)+1.5</f>
        <v>0.75</v>
      </c>
      <c r="C12" s="44"/>
      <c r="D12" s="69"/>
      <c r="E12" s="74"/>
    </row>
    <row r="13" spans="1:5" ht="12.95" customHeight="1">
      <c r="A13" s="45">
        <v>-40</v>
      </c>
      <c r="B13" s="40">
        <f>-0.0004*(A13^2)-0.02*(A13)+0.75</f>
        <v>0.91</v>
      </c>
      <c r="C13" s="44"/>
      <c r="D13" s="69"/>
      <c r="E13" s="74"/>
    </row>
    <row r="14" spans="1:5" ht="12.95" customHeight="1">
      <c r="A14" s="45">
        <v>-30</v>
      </c>
      <c r="B14" s="40">
        <f>-0.0004*(A14^2)-0.02*(A14)+0.75</f>
        <v>0.99</v>
      </c>
      <c r="C14" s="44"/>
      <c r="D14" s="69"/>
      <c r="E14" s="74"/>
    </row>
    <row r="15" spans="1:5" ht="12.95" customHeight="1">
      <c r="A15" s="45">
        <v>-20</v>
      </c>
      <c r="B15" s="40">
        <f>-0.0004*(A15^2)-0.02*(A15)+0.75</f>
        <v>0.99</v>
      </c>
      <c r="C15" s="44"/>
      <c r="D15" s="69"/>
      <c r="E15" s="74"/>
    </row>
    <row r="16" spans="1:5" ht="12.95" customHeight="1">
      <c r="A16" s="45">
        <v>-10</v>
      </c>
      <c r="B16" s="40">
        <f>-0.0004*(A16^2)-0.02*(A16)+0.75</f>
        <v>0.91</v>
      </c>
      <c r="C16" s="44"/>
      <c r="D16" s="69"/>
      <c r="E16" s="74"/>
    </row>
    <row r="17" spans="1:5" ht="12.95" customHeight="1">
      <c r="A17" s="45">
        <v>0</v>
      </c>
      <c r="B17" s="40">
        <f>-0.0004*(A17^2)-0.02*(A17)+0.75</f>
        <v>0.75</v>
      </c>
      <c r="C17" s="44"/>
      <c r="D17" s="69"/>
      <c r="E17" s="74"/>
    </row>
    <row r="18" spans="1:5" ht="12.95" customHeight="1">
      <c r="A18" s="47">
        <v>10</v>
      </c>
      <c r="B18" s="101">
        <f aca="true" t="shared" si="0" ref="B18:B24">0.000075*(A18)*(A18)-0.015*(A18)+0.75</f>
        <v>0.6075</v>
      </c>
      <c r="C18" s="44"/>
      <c r="D18" s="69"/>
      <c r="E18" s="74"/>
    </row>
    <row r="19" spans="1:5" ht="12.95" customHeight="1">
      <c r="A19" s="47">
        <v>32</v>
      </c>
      <c r="B19" s="101">
        <f t="shared" si="0"/>
        <v>0.3468</v>
      </c>
      <c r="C19" s="44"/>
      <c r="D19" s="69"/>
      <c r="E19" s="74"/>
    </row>
    <row r="20" spans="1:5" ht="12.95" customHeight="1">
      <c r="A20" s="47">
        <v>44</v>
      </c>
      <c r="B20" s="101">
        <f t="shared" si="0"/>
        <v>0.23520000000000008</v>
      </c>
      <c r="C20" s="44"/>
      <c r="D20" s="69"/>
      <c r="E20" s="74"/>
    </row>
    <row r="21" spans="1:5" ht="12.95" customHeight="1">
      <c r="A21" s="47">
        <v>56</v>
      </c>
      <c r="B21" s="101">
        <f t="shared" si="0"/>
        <v>0.1452</v>
      </c>
      <c r="C21" s="44"/>
      <c r="D21" s="69"/>
      <c r="E21" s="74"/>
    </row>
    <row r="22" spans="1:5" ht="12.95" customHeight="1">
      <c r="A22" s="47">
        <v>68</v>
      </c>
      <c r="B22" s="101">
        <f t="shared" si="0"/>
        <v>0.07679999999999998</v>
      </c>
      <c r="C22" s="44"/>
      <c r="D22" s="69"/>
      <c r="E22" s="74"/>
    </row>
    <row r="23" spans="1:5" ht="12.95" customHeight="1">
      <c r="A23" s="47">
        <v>80</v>
      </c>
      <c r="B23" s="101">
        <f t="shared" si="0"/>
        <v>0.030000000000000027</v>
      </c>
      <c r="C23" s="44"/>
      <c r="D23" s="69"/>
      <c r="E23" s="74"/>
    </row>
    <row r="24" spans="1:5" ht="12.95" customHeight="1" thickBot="1">
      <c r="A24" s="48">
        <v>100</v>
      </c>
      <c r="B24" s="102">
        <f t="shared" si="0"/>
        <v>0</v>
      </c>
      <c r="C24" s="49"/>
      <c r="D24" s="75"/>
      <c r="E24" s="76"/>
    </row>
    <row r="25" ht="12.95" customHeight="1" thickTop="1"/>
    <row r="26" ht="15" customHeight="1" thickBot="1"/>
    <row r="27" spans="1:5" ht="30" customHeight="1" thickTop="1">
      <c r="A27" s="12" t="s">
        <v>7</v>
      </c>
      <c r="B27" s="13">
        <v>143</v>
      </c>
      <c r="C27" s="14" t="s">
        <v>5</v>
      </c>
      <c r="D27" s="15" t="s">
        <v>89</v>
      </c>
      <c r="E27" s="16" t="s">
        <v>83</v>
      </c>
    </row>
    <row r="28" spans="1:5" ht="30" customHeight="1">
      <c r="A28" s="17" t="s">
        <v>2</v>
      </c>
      <c r="B28" s="1" t="s">
        <v>88</v>
      </c>
      <c r="C28" s="41"/>
      <c r="D28" s="3" t="s">
        <v>90</v>
      </c>
      <c r="E28" s="30" t="s">
        <v>85</v>
      </c>
    </row>
    <row r="29" spans="1:5" ht="30" customHeight="1">
      <c r="A29" s="17" t="s">
        <v>10</v>
      </c>
      <c r="B29" s="1"/>
      <c r="C29" s="41"/>
      <c r="D29" s="3" t="s">
        <v>91</v>
      </c>
      <c r="E29" s="30" t="s">
        <v>12</v>
      </c>
    </row>
    <row r="30" spans="1:5" ht="30" customHeight="1" thickBot="1">
      <c r="A30" s="17" t="s">
        <v>3</v>
      </c>
      <c r="B30" s="1"/>
      <c r="C30" s="42"/>
      <c r="D30" s="31"/>
      <c r="E30" s="32"/>
    </row>
    <row r="31" spans="1:5" ht="30" customHeight="1">
      <c r="A31" s="17" t="s">
        <v>4</v>
      </c>
      <c r="B31" s="1" t="s">
        <v>78</v>
      </c>
      <c r="C31" s="8" t="s">
        <v>6</v>
      </c>
      <c r="D31" s="10">
        <v>90</v>
      </c>
      <c r="E31" s="67"/>
    </row>
    <row r="32" spans="1:5" ht="30" customHeight="1" thickBot="1">
      <c r="A32" s="20" t="s">
        <v>11</v>
      </c>
      <c r="B32" s="127" t="s">
        <v>129</v>
      </c>
      <c r="C32" s="9" t="s">
        <v>0</v>
      </c>
      <c r="D32" s="11">
        <f>IF(D31&lt;-100,"valor del indicador fuera de rango",IF(D31&lt;=-50,0.00006*(D31^2)+(0.012*D31)+1.2,IF(D31&lt;=0,(-0.0004*(D31^2))-(0.02*D31)+0.75,IF(D31&lt;=100,-0.0075*(D31)+0.75,"valor del indicador fuera rango"))))</f>
        <v>0.07500000000000007</v>
      </c>
      <c r="E32" s="68"/>
    </row>
    <row r="33" spans="1:5" ht="30" customHeight="1">
      <c r="A33" s="23" t="s">
        <v>9</v>
      </c>
      <c r="B33" s="7" t="s">
        <v>0</v>
      </c>
      <c r="C33" s="131" t="s">
        <v>8</v>
      </c>
      <c r="D33" s="132"/>
      <c r="E33" s="133"/>
    </row>
    <row r="34" spans="1:5" ht="12.95" customHeight="1">
      <c r="A34" s="43">
        <v>-100</v>
      </c>
      <c r="B34" s="50">
        <f>0.00006*(A34^2)+0.012*A34+1.2</f>
        <v>0.6</v>
      </c>
      <c r="C34" s="69"/>
      <c r="D34" s="69"/>
      <c r="E34" s="74"/>
    </row>
    <row r="35" spans="1:5" ht="12.95" customHeight="1">
      <c r="A35" s="43">
        <v>-80</v>
      </c>
      <c r="B35" s="50">
        <f>0.00006*(A35^2)+0.012*A35+1.2</f>
        <v>0.624</v>
      </c>
      <c r="C35" s="44"/>
      <c r="D35" s="69"/>
      <c r="E35" s="74"/>
    </row>
    <row r="36" spans="1:5" ht="12.95" customHeight="1">
      <c r="A36" s="43">
        <v>-60</v>
      </c>
      <c r="B36" s="50">
        <f>0.00006*(A36^2)+0.012*A36+1.2</f>
        <v>0.696</v>
      </c>
      <c r="C36" s="44"/>
      <c r="D36" s="69"/>
      <c r="E36" s="74"/>
    </row>
    <row r="37" spans="1:5" ht="12.95" customHeight="1">
      <c r="A37" s="43">
        <v>-55</v>
      </c>
      <c r="B37" s="50">
        <f>0.00006*(A37^2)+0.012*A37+1.2</f>
        <v>0.7214999999999999</v>
      </c>
      <c r="C37" s="44"/>
      <c r="D37" s="69"/>
      <c r="E37" s="74"/>
    </row>
    <row r="38" spans="1:5" ht="12.95" customHeight="1">
      <c r="A38" s="43">
        <v>-50</v>
      </c>
      <c r="B38" s="50">
        <f>0.00006*(A38^2)+0.012*A38+1.2</f>
        <v>0.75</v>
      </c>
      <c r="C38" s="44"/>
      <c r="D38" s="69"/>
      <c r="E38" s="74"/>
    </row>
    <row r="39" spans="1:5" ht="12.95" customHeight="1">
      <c r="A39" s="45">
        <v>-40</v>
      </c>
      <c r="B39" s="51">
        <f>-0.0004*(A39^2)-0.02*A39+0.75</f>
        <v>0.91</v>
      </c>
      <c r="C39" s="44"/>
      <c r="D39" s="69"/>
      <c r="E39" s="74"/>
    </row>
    <row r="40" spans="1:5" ht="12.95" customHeight="1">
      <c r="A40" s="45">
        <v>-30</v>
      </c>
      <c r="B40" s="51">
        <f>-0.0004*(A40^2)-0.02*A40+0.75</f>
        <v>0.99</v>
      </c>
      <c r="C40" s="44"/>
      <c r="D40" s="69"/>
      <c r="E40" s="74"/>
    </row>
    <row r="41" spans="1:5" ht="12.95" customHeight="1">
      <c r="A41" s="45">
        <v>-20</v>
      </c>
      <c r="B41" s="51">
        <f>-0.0004*(A41^2)-0.02*A41+0.75</f>
        <v>0.99</v>
      </c>
      <c r="C41" s="44"/>
      <c r="D41" s="69"/>
      <c r="E41" s="74"/>
    </row>
    <row r="42" spans="1:5" ht="12.95" customHeight="1">
      <c r="A42" s="45">
        <v>-10</v>
      </c>
      <c r="B42" s="51">
        <f>-0.0004*(A42^2)-0.02*A42+0.75</f>
        <v>0.91</v>
      </c>
      <c r="C42" s="44"/>
      <c r="D42" s="69"/>
      <c r="E42" s="74"/>
    </row>
    <row r="43" spans="1:5" ht="12.95" customHeight="1">
      <c r="A43" s="45">
        <v>0</v>
      </c>
      <c r="B43" s="51">
        <f>-0.0004*(A43^2)-0.02*A43+0.75</f>
        <v>0.75</v>
      </c>
      <c r="C43" s="44"/>
      <c r="D43" s="69"/>
      <c r="E43" s="74"/>
    </row>
    <row r="44" spans="1:5" ht="12.95" customHeight="1">
      <c r="A44" s="47">
        <v>10</v>
      </c>
      <c r="B44" s="103">
        <f aca="true" t="shared" si="1" ref="B44:B50">-0.0075*A44+0.75</f>
        <v>0.675</v>
      </c>
      <c r="C44" s="44"/>
      <c r="D44" s="69"/>
      <c r="E44" s="74"/>
    </row>
    <row r="45" spans="1:5" ht="12.95" customHeight="1">
      <c r="A45" s="47">
        <v>32</v>
      </c>
      <c r="B45" s="103">
        <f t="shared" si="1"/>
        <v>0.51</v>
      </c>
      <c r="C45" s="44"/>
      <c r="D45" s="69"/>
      <c r="E45" s="74"/>
    </row>
    <row r="46" spans="1:5" ht="12.95" customHeight="1">
      <c r="A46" s="47">
        <v>44</v>
      </c>
      <c r="B46" s="103">
        <f t="shared" si="1"/>
        <v>0.42000000000000004</v>
      </c>
      <c r="C46" s="44"/>
      <c r="D46" s="69"/>
      <c r="E46" s="74"/>
    </row>
    <row r="47" spans="1:5" ht="12.95" customHeight="1">
      <c r="A47" s="47">
        <v>56</v>
      </c>
      <c r="B47" s="103">
        <f t="shared" si="1"/>
        <v>0.33</v>
      </c>
      <c r="C47" s="44"/>
      <c r="D47" s="69"/>
      <c r="E47" s="74"/>
    </row>
    <row r="48" spans="1:5" ht="12.95" customHeight="1">
      <c r="A48" s="47">
        <v>68</v>
      </c>
      <c r="B48" s="103">
        <f t="shared" si="1"/>
        <v>0.24</v>
      </c>
      <c r="C48" s="44"/>
      <c r="D48" s="69"/>
      <c r="E48" s="74"/>
    </row>
    <row r="49" spans="1:5" ht="12.95" customHeight="1">
      <c r="A49" s="47">
        <v>80</v>
      </c>
      <c r="B49" s="103">
        <f t="shared" si="1"/>
        <v>0.15000000000000002</v>
      </c>
      <c r="C49" s="44"/>
      <c r="D49" s="69"/>
      <c r="E49" s="74"/>
    </row>
    <row r="50" spans="1:5" ht="12.95" customHeight="1" thickBot="1">
      <c r="A50" s="48">
        <v>100</v>
      </c>
      <c r="B50" s="104">
        <f t="shared" si="1"/>
        <v>0</v>
      </c>
      <c r="C50" s="49"/>
      <c r="D50" s="75"/>
      <c r="E50" s="76"/>
    </row>
    <row r="51" ht="12.95" customHeight="1" thickTop="1"/>
    <row r="52" ht="12.95" customHeight="1" thickBot="1"/>
    <row r="53" spans="1:5" ht="30" customHeight="1" thickTop="1">
      <c r="A53" s="12" t="s">
        <v>7</v>
      </c>
      <c r="B53" s="13">
        <v>144</v>
      </c>
      <c r="C53" s="14" t="s">
        <v>5</v>
      </c>
      <c r="D53" s="15" t="s">
        <v>82</v>
      </c>
      <c r="E53" s="16" t="s">
        <v>83</v>
      </c>
    </row>
    <row r="54" spans="1:5" ht="30" customHeight="1">
      <c r="A54" s="17" t="s">
        <v>2</v>
      </c>
      <c r="B54" s="1" t="s">
        <v>92</v>
      </c>
      <c r="C54" s="41"/>
      <c r="D54" s="3" t="s">
        <v>84</v>
      </c>
      <c r="E54" s="30" t="s">
        <v>85</v>
      </c>
    </row>
    <row r="55" spans="1:5" ht="30" customHeight="1">
      <c r="A55" s="17" t="s">
        <v>10</v>
      </c>
      <c r="B55" s="1"/>
      <c r="C55" s="41"/>
      <c r="D55" s="3" t="s">
        <v>86</v>
      </c>
      <c r="E55" s="30" t="s">
        <v>12</v>
      </c>
    </row>
    <row r="56" spans="1:5" ht="30" customHeight="1" thickBot="1">
      <c r="A56" s="17" t="s">
        <v>3</v>
      </c>
      <c r="B56" s="1"/>
      <c r="C56" s="42"/>
      <c r="D56" s="31"/>
      <c r="E56" s="32"/>
    </row>
    <row r="57" spans="1:5" ht="30" customHeight="1">
      <c r="A57" s="17" t="s">
        <v>4</v>
      </c>
      <c r="B57" s="1" t="s">
        <v>78</v>
      </c>
      <c r="C57" s="8" t="s">
        <v>6</v>
      </c>
      <c r="D57" s="10">
        <v>90</v>
      </c>
      <c r="E57" s="67"/>
    </row>
    <row r="58" spans="1:5" ht="30" customHeight="1" thickBot="1">
      <c r="A58" s="20" t="s">
        <v>11</v>
      </c>
      <c r="B58" s="127" t="s">
        <v>129</v>
      </c>
      <c r="C58" s="9" t="s">
        <v>0</v>
      </c>
      <c r="D58" s="11">
        <f>IF(D57&lt;-100,"valor del indicador fuera de rango",IF(D57&lt;=-50,0.0001*(D57^2)+(0.02*D57)+1.5,IF(D57&lt;=0,(-0.0004*(D57^2))-(0.02*D57)+0.75,IF(D57&lt;=100,0.000075*(D57^2)-0.015*D57+0.75,"valor del indicador fuera rango"))))</f>
        <v>0.007500000000000062</v>
      </c>
      <c r="E58" s="68"/>
    </row>
    <row r="59" spans="1:5" ht="30" customHeight="1">
      <c r="A59" s="23" t="s">
        <v>9</v>
      </c>
      <c r="B59" s="7" t="s">
        <v>0</v>
      </c>
      <c r="C59" s="131" t="s">
        <v>8</v>
      </c>
      <c r="D59" s="132"/>
      <c r="E59" s="133"/>
    </row>
    <row r="60" spans="1:5" ht="12.95" customHeight="1">
      <c r="A60" s="43">
        <v>-100</v>
      </c>
      <c r="B60" s="36">
        <f>0.0001*(A60^2)+0.02*(A60)+1.5</f>
        <v>0.5</v>
      </c>
      <c r="C60" s="69"/>
      <c r="D60" s="69"/>
      <c r="E60" s="74"/>
    </row>
    <row r="61" spans="1:5" ht="12.95" customHeight="1">
      <c r="A61" s="43">
        <v>-80</v>
      </c>
      <c r="B61" s="36">
        <f>0.0001*(A61^2)+0.02*(A61)+1.5</f>
        <v>0.5399999999999999</v>
      </c>
      <c r="C61" s="44"/>
      <c r="D61" s="69"/>
      <c r="E61" s="74"/>
    </row>
    <row r="62" spans="1:5" ht="12.95" customHeight="1">
      <c r="A62" s="43">
        <v>-60</v>
      </c>
      <c r="B62" s="36">
        <f>0.0001*(A62^2)+0.02*(A62)+1.5</f>
        <v>0.6600000000000001</v>
      </c>
      <c r="C62" s="44"/>
      <c r="D62" s="69"/>
      <c r="E62" s="74"/>
    </row>
    <row r="63" spans="1:5" ht="12.95" customHeight="1">
      <c r="A63" s="43">
        <v>-55</v>
      </c>
      <c r="B63" s="36">
        <f>0.0001*(A63^2)+0.02*(A63)+1.5</f>
        <v>0.7024999999999999</v>
      </c>
      <c r="C63" s="44"/>
      <c r="D63" s="69"/>
      <c r="E63" s="74"/>
    </row>
    <row r="64" spans="1:5" ht="12.95" customHeight="1">
      <c r="A64" s="43">
        <v>-50</v>
      </c>
      <c r="B64" s="36">
        <f>0.0001*(A64^2)+0.02*(A64)+1.5</f>
        <v>0.75</v>
      </c>
      <c r="C64" s="44"/>
      <c r="D64" s="69"/>
      <c r="E64" s="74"/>
    </row>
    <row r="65" spans="1:5" ht="12.95" customHeight="1">
      <c r="A65" s="45">
        <v>-40</v>
      </c>
      <c r="B65" s="40">
        <f>-0.0004*(A65^2)-0.02*(A65)+0.75</f>
        <v>0.91</v>
      </c>
      <c r="C65" s="44"/>
      <c r="D65" s="69"/>
      <c r="E65" s="74"/>
    </row>
    <row r="66" spans="1:5" ht="12.95" customHeight="1">
      <c r="A66" s="45">
        <v>-30</v>
      </c>
      <c r="B66" s="40">
        <f>-0.0004*(A66^2)-0.02*(A66)+0.75</f>
        <v>0.99</v>
      </c>
      <c r="C66" s="44"/>
      <c r="D66" s="69"/>
      <c r="E66" s="74"/>
    </row>
    <row r="67" spans="1:5" ht="12.95" customHeight="1">
      <c r="A67" s="45">
        <v>-20</v>
      </c>
      <c r="B67" s="40">
        <f>-0.0004*(A67^2)-0.02*(A67)+0.75</f>
        <v>0.99</v>
      </c>
      <c r="C67" s="44"/>
      <c r="D67" s="69"/>
      <c r="E67" s="74"/>
    </row>
    <row r="68" spans="1:5" ht="12.95" customHeight="1">
      <c r="A68" s="45">
        <v>-10</v>
      </c>
      <c r="B68" s="40">
        <f>-0.0004*(A68^2)-0.02*(A68)+0.75</f>
        <v>0.91</v>
      </c>
      <c r="C68" s="44"/>
      <c r="D68" s="69"/>
      <c r="E68" s="74"/>
    </row>
    <row r="69" spans="1:5" ht="12.95" customHeight="1">
      <c r="A69" s="45">
        <v>0</v>
      </c>
      <c r="B69" s="40">
        <f>-0.0004*(A69^2)-0.02*(A69)+0.75</f>
        <v>0.75</v>
      </c>
      <c r="C69" s="44"/>
      <c r="D69" s="69"/>
      <c r="E69" s="74"/>
    </row>
    <row r="70" spans="1:5" ht="12.95" customHeight="1">
      <c r="A70" s="47">
        <v>10</v>
      </c>
      <c r="B70" s="101">
        <f aca="true" t="shared" si="2" ref="B70:B76">0.000075*(A70)*(A70)-0.015*(A70)+0.75</f>
        <v>0.6075</v>
      </c>
      <c r="C70" s="44"/>
      <c r="D70" s="69"/>
      <c r="E70" s="74"/>
    </row>
    <row r="71" spans="1:5" ht="12.95" customHeight="1">
      <c r="A71" s="47">
        <v>32</v>
      </c>
      <c r="B71" s="101">
        <f t="shared" si="2"/>
        <v>0.3468</v>
      </c>
      <c r="C71" s="44"/>
      <c r="D71" s="69"/>
      <c r="E71" s="74"/>
    </row>
    <row r="72" spans="1:5" ht="12.95" customHeight="1">
      <c r="A72" s="47">
        <v>44</v>
      </c>
      <c r="B72" s="101">
        <f t="shared" si="2"/>
        <v>0.23520000000000008</v>
      </c>
      <c r="C72" s="44"/>
      <c r="D72" s="69"/>
      <c r="E72" s="74"/>
    </row>
    <row r="73" spans="1:5" ht="12.95" customHeight="1">
      <c r="A73" s="47">
        <v>56</v>
      </c>
      <c r="B73" s="101">
        <f t="shared" si="2"/>
        <v>0.1452</v>
      </c>
      <c r="C73" s="44"/>
      <c r="D73" s="69"/>
      <c r="E73" s="74"/>
    </row>
    <row r="74" spans="1:5" ht="12.95" customHeight="1">
      <c r="A74" s="47">
        <v>68</v>
      </c>
      <c r="B74" s="101">
        <f t="shared" si="2"/>
        <v>0.07679999999999998</v>
      </c>
      <c r="C74" s="44"/>
      <c r="D74" s="69"/>
      <c r="E74" s="74"/>
    </row>
    <row r="75" spans="1:5" ht="12.95" customHeight="1">
      <c r="A75" s="47">
        <v>80</v>
      </c>
      <c r="B75" s="101">
        <f t="shared" si="2"/>
        <v>0.030000000000000027</v>
      </c>
      <c r="C75" s="44"/>
      <c r="D75" s="69"/>
      <c r="E75" s="74"/>
    </row>
    <row r="76" spans="1:5" ht="12.95" customHeight="1" thickBot="1">
      <c r="A76" s="48">
        <v>100</v>
      </c>
      <c r="B76" s="102">
        <f t="shared" si="2"/>
        <v>0</v>
      </c>
      <c r="C76" s="49"/>
      <c r="D76" s="75"/>
      <c r="E76" s="76"/>
    </row>
    <row r="77" ht="12.95" customHeight="1" thickTop="1"/>
    <row r="78" ht="12.95" customHeight="1" thickBot="1"/>
    <row r="79" spans="1:5" ht="30" customHeight="1" thickTop="1">
      <c r="A79" s="12" t="s">
        <v>7</v>
      </c>
      <c r="B79" s="13">
        <v>145</v>
      </c>
      <c r="C79" s="14" t="s">
        <v>5</v>
      </c>
      <c r="D79" s="15" t="s">
        <v>89</v>
      </c>
      <c r="E79" s="16" t="s">
        <v>83</v>
      </c>
    </row>
    <row r="80" spans="1:5" ht="30" customHeight="1">
      <c r="A80" s="17" t="s">
        <v>2</v>
      </c>
      <c r="B80" s="1" t="s">
        <v>93</v>
      </c>
      <c r="C80" s="41"/>
      <c r="D80" s="3" t="s">
        <v>90</v>
      </c>
      <c r="E80" s="30" t="s">
        <v>85</v>
      </c>
    </row>
    <row r="81" spans="1:5" ht="30" customHeight="1">
      <c r="A81" s="17" t="s">
        <v>10</v>
      </c>
      <c r="B81" s="1"/>
      <c r="C81" s="41"/>
      <c r="D81" s="3" t="s">
        <v>91</v>
      </c>
      <c r="E81" s="30" t="s">
        <v>12</v>
      </c>
    </row>
    <row r="82" spans="1:5" ht="30" customHeight="1" thickBot="1">
      <c r="A82" s="17" t="s">
        <v>3</v>
      </c>
      <c r="B82" s="1"/>
      <c r="C82" s="42"/>
      <c r="D82" s="31"/>
      <c r="E82" s="32"/>
    </row>
    <row r="83" spans="1:5" ht="30" customHeight="1">
      <c r="A83" s="17" t="s">
        <v>4</v>
      </c>
      <c r="B83" s="1" t="s">
        <v>78</v>
      </c>
      <c r="C83" s="8" t="s">
        <v>6</v>
      </c>
      <c r="D83" s="10">
        <v>90</v>
      </c>
      <c r="E83" s="67"/>
    </row>
    <row r="84" spans="1:5" ht="30" customHeight="1" thickBot="1">
      <c r="A84" s="20" t="s">
        <v>11</v>
      </c>
      <c r="B84" s="127" t="s">
        <v>129</v>
      </c>
      <c r="C84" s="9" t="s">
        <v>0</v>
      </c>
      <c r="D84" s="11">
        <f>IF(D83&lt;-100,"valor del indicador fuera de rango",IF(D83&lt;=-50,0.00006*(D83^2)+(0.012*D83)+1.2,IF(D83&lt;=0,(-0.0004*(D83^2))-(0.02*D83)+0.75,IF(D83&lt;=100,-0.0075*(D83)+0.75,"valor del indicador fuera rango"))))</f>
        <v>0.07500000000000007</v>
      </c>
      <c r="E84" s="68"/>
    </row>
    <row r="85" spans="1:5" ht="30" customHeight="1">
      <c r="A85" s="23" t="s">
        <v>9</v>
      </c>
      <c r="B85" s="7" t="s">
        <v>0</v>
      </c>
      <c r="C85" s="131" t="s">
        <v>8</v>
      </c>
      <c r="D85" s="132"/>
      <c r="E85" s="133"/>
    </row>
    <row r="86" spans="1:5" ht="12.95" customHeight="1">
      <c r="A86" s="43">
        <v>-100</v>
      </c>
      <c r="B86" s="50">
        <f>0.00006*(A86^2)+0.012*A86+1.2</f>
        <v>0.6</v>
      </c>
      <c r="C86" s="69"/>
      <c r="D86" s="69"/>
      <c r="E86" s="74"/>
    </row>
    <row r="87" spans="1:5" ht="12.95" customHeight="1">
      <c r="A87" s="43">
        <v>-80</v>
      </c>
      <c r="B87" s="50">
        <f>0.00006*(A87^2)+0.012*A87+1.2</f>
        <v>0.624</v>
      </c>
      <c r="C87" s="44"/>
      <c r="D87" s="69"/>
      <c r="E87" s="74"/>
    </row>
    <row r="88" spans="1:5" ht="12.95" customHeight="1">
      <c r="A88" s="43">
        <v>-60</v>
      </c>
      <c r="B88" s="50">
        <f>0.00006*(A88^2)+0.012*A88+1.2</f>
        <v>0.696</v>
      </c>
      <c r="C88" s="44"/>
      <c r="D88" s="69"/>
      <c r="E88" s="74"/>
    </row>
    <row r="89" spans="1:5" ht="12.95" customHeight="1">
      <c r="A89" s="43">
        <v>-55</v>
      </c>
      <c r="B89" s="50">
        <f>0.00006*(A89^2)+0.012*A89+1.2</f>
        <v>0.7214999999999999</v>
      </c>
      <c r="C89" s="44"/>
      <c r="D89" s="69"/>
      <c r="E89" s="74"/>
    </row>
    <row r="90" spans="1:5" ht="12.95" customHeight="1">
      <c r="A90" s="43">
        <v>-50</v>
      </c>
      <c r="B90" s="50">
        <f>0.00006*(A90^2)+0.012*A90+1.2</f>
        <v>0.75</v>
      </c>
      <c r="C90" s="44"/>
      <c r="D90" s="69"/>
      <c r="E90" s="74"/>
    </row>
    <row r="91" spans="1:5" ht="12.95" customHeight="1">
      <c r="A91" s="45">
        <v>-40</v>
      </c>
      <c r="B91" s="51">
        <f>-0.0004*(A91^2)-0.02*A91+0.75</f>
        <v>0.91</v>
      </c>
      <c r="C91" s="44"/>
      <c r="D91" s="69"/>
      <c r="E91" s="74"/>
    </row>
    <row r="92" spans="1:5" ht="12.95" customHeight="1">
      <c r="A92" s="45">
        <v>-30</v>
      </c>
      <c r="B92" s="51">
        <f>-0.0004*(A92^2)-0.02*A92+0.75</f>
        <v>0.99</v>
      </c>
      <c r="C92" s="44"/>
      <c r="D92" s="69"/>
      <c r="E92" s="74"/>
    </row>
    <row r="93" spans="1:5" ht="12.95" customHeight="1">
      <c r="A93" s="45">
        <v>-20</v>
      </c>
      <c r="B93" s="51">
        <f>-0.0004*(A93^2)-0.02*A93+0.75</f>
        <v>0.99</v>
      </c>
      <c r="C93" s="44"/>
      <c r="D93" s="69"/>
      <c r="E93" s="74"/>
    </row>
    <row r="94" spans="1:5" ht="12.95" customHeight="1">
      <c r="A94" s="45">
        <v>-10</v>
      </c>
      <c r="B94" s="51">
        <f>-0.0004*(A94^2)-0.02*A94+0.75</f>
        <v>0.91</v>
      </c>
      <c r="C94" s="44"/>
      <c r="D94" s="69"/>
      <c r="E94" s="74"/>
    </row>
    <row r="95" spans="1:5" ht="12.95" customHeight="1">
      <c r="A95" s="45">
        <v>0</v>
      </c>
      <c r="B95" s="51">
        <f>-0.0004*(A95^2)-0.02*A95+0.75</f>
        <v>0.75</v>
      </c>
      <c r="C95" s="44"/>
      <c r="D95" s="69"/>
      <c r="E95" s="74"/>
    </row>
    <row r="96" spans="1:5" ht="12.95" customHeight="1">
      <c r="A96" s="47">
        <v>10</v>
      </c>
      <c r="B96" s="103">
        <f aca="true" t="shared" si="3" ref="B96:B102">-0.0075*A96+0.75</f>
        <v>0.675</v>
      </c>
      <c r="C96" s="44"/>
      <c r="D96" s="69"/>
      <c r="E96" s="74"/>
    </row>
    <row r="97" spans="1:5" ht="12.95" customHeight="1">
      <c r="A97" s="47">
        <v>32</v>
      </c>
      <c r="B97" s="103">
        <f t="shared" si="3"/>
        <v>0.51</v>
      </c>
      <c r="C97" s="44"/>
      <c r="D97" s="69"/>
      <c r="E97" s="74"/>
    </row>
    <row r="98" spans="1:5" ht="12.95" customHeight="1">
      <c r="A98" s="47">
        <v>44</v>
      </c>
      <c r="B98" s="103">
        <f t="shared" si="3"/>
        <v>0.42000000000000004</v>
      </c>
      <c r="C98" s="44"/>
      <c r="D98" s="69"/>
      <c r="E98" s="74"/>
    </row>
    <row r="99" spans="1:5" ht="12.95" customHeight="1">
      <c r="A99" s="47">
        <v>56</v>
      </c>
      <c r="B99" s="103">
        <f t="shared" si="3"/>
        <v>0.33</v>
      </c>
      <c r="C99" s="44"/>
      <c r="D99" s="69"/>
      <c r="E99" s="74"/>
    </row>
    <row r="100" spans="1:5" ht="12.95" customHeight="1">
      <c r="A100" s="47">
        <v>68</v>
      </c>
      <c r="B100" s="103">
        <f t="shared" si="3"/>
        <v>0.24</v>
      </c>
      <c r="C100" s="44"/>
      <c r="D100" s="69"/>
      <c r="E100" s="74"/>
    </row>
    <row r="101" spans="1:5" ht="12.95" customHeight="1">
      <c r="A101" s="47">
        <v>80</v>
      </c>
      <c r="B101" s="103">
        <f t="shared" si="3"/>
        <v>0.15000000000000002</v>
      </c>
      <c r="C101" s="44"/>
      <c r="D101" s="69"/>
      <c r="E101" s="74"/>
    </row>
    <row r="102" spans="1:5" ht="12.95" customHeight="1" thickBot="1">
      <c r="A102" s="48">
        <v>100</v>
      </c>
      <c r="B102" s="104">
        <f t="shared" si="3"/>
        <v>0</v>
      </c>
      <c r="C102" s="49"/>
      <c r="D102" s="75"/>
      <c r="E102" s="76"/>
    </row>
    <row r="103" ht="12.95" customHeight="1" thickTop="1"/>
  </sheetData>
  <mergeCells count="4">
    <mergeCell ref="C7:E7"/>
    <mergeCell ref="C33:E33"/>
    <mergeCell ref="C59:E59"/>
    <mergeCell ref="C85:E8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iapenmal</cp:lastModifiedBy>
  <cp:lastPrinted>2006-07-05T16:23:03Z</cp:lastPrinted>
  <dcterms:created xsi:type="dcterms:W3CDTF">1996-11-27T10:00:04Z</dcterms:created>
  <dcterms:modified xsi:type="dcterms:W3CDTF">2013-11-15T10:00:23Z</dcterms:modified>
  <cp:category/>
  <cp:version/>
  <cp:contentType/>
  <cp:contentStatus/>
</cp:coreProperties>
</file>