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orte\"/>
    </mc:Choice>
  </mc:AlternateContent>
  <bookViews>
    <workbookView xWindow="0" yWindow="0" windowWidth="21570" windowHeight="7980" activeTab="1"/>
  </bookViews>
  <sheets>
    <sheet name="Solver" sheetId="1" r:id="rId1"/>
    <sheet name="Solucion inicial" sheetId="2" r:id="rId2"/>
    <sheet name="1º it." sheetId="3" r:id="rId3"/>
    <sheet name="2º it." sheetId="4" r:id="rId4"/>
    <sheet name="3º it." sheetId="5" r:id="rId5"/>
    <sheet name="4º it." sheetId="6" r:id="rId6"/>
    <sheet name="5º it." sheetId="7" r:id="rId7"/>
    <sheet name="6º it." sheetId="8" r:id="rId8"/>
    <sheet name="7º it." sheetId="9" r:id="rId9"/>
    <sheet name="8º it." sheetId="10" r:id="rId10"/>
    <sheet name="9º it." sheetId="11" r:id="rId11"/>
    <sheet name="Sol. optima" sheetId="12" r:id="rId12"/>
  </sheets>
  <definedNames>
    <definedName name="solver_adj" localSheetId="0" hidden="1">Solver!$B$23:$H$35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Solver!$B$23:$H$35</definedName>
    <definedName name="solver_lhs2" localSheetId="0" hidden="1">Solver!$B$36:$H$36</definedName>
    <definedName name="solver_lhs3" localSheetId="0" hidden="1">Solver!$I$23:$I$35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Solver!$H$46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el2" localSheetId="0" hidden="1">2</definedName>
    <definedName name="solver_rel3" localSheetId="0" hidden="1">2</definedName>
    <definedName name="solver_rhs1" localSheetId="0" hidden="1">0</definedName>
    <definedName name="solver_rhs2" localSheetId="0" hidden="1">Solver!$B$38:$H$38</definedName>
    <definedName name="solver_rhs3" localSheetId="0" hidden="1">Solver!$K$23:$K$35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2" l="1"/>
  <c r="F56" i="2"/>
  <c r="E56" i="2"/>
  <c r="D56" i="2"/>
  <c r="C56" i="2"/>
  <c r="B56" i="2"/>
  <c r="Q22" i="2"/>
  <c r="D5" i="1"/>
  <c r="E5" i="1"/>
  <c r="F5" i="1" s="1"/>
  <c r="G5" i="1" s="1"/>
  <c r="C5" i="1"/>
  <c r="C61" i="12"/>
  <c r="D61" i="12"/>
  <c r="E61" i="12"/>
  <c r="F61" i="12"/>
  <c r="G61" i="12"/>
  <c r="B61" i="12"/>
  <c r="I39" i="6"/>
  <c r="Q23" i="12" l="1"/>
  <c r="Q22" i="12"/>
  <c r="E35" i="12" s="1"/>
  <c r="Q24" i="12" s="1"/>
  <c r="C35" i="12"/>
  <c r="N29" i="12"/>
  <c r="N32" i="12"/>
  <c r="N33" i="12"/>
  <c r="L32" i="12"/>
  <c r="N31" i="12"/>
  <c r="J31" i="12"/>
  <c r="J30" i="12"/>
  <c r="H29" i="12"/>
  <c r="H28" i="12"/>
  <c r="F27" i="12"/>
  <c r="D27" i="12"/>
  <c r="D25" i="12"/>
  <c r="B23" i="12"/>
  <c r="B22" i="12"/>
  <c r="C21" i="12"/>
  <c r="F64" i="12" s="1"/>
  <c r="Q27" i="11"/>
  <c r="G35" i="11" s="1"/>
  <c r="Q26" i="11" s="1"/>
  <c r="Q23" i="11"/>
  <c r="C35" i="11"/>
  <c r="Q22" i="11" s="1"/>
  <c r="E35" i="11" s="1"/>
  <c r="D27" i="11"/>
  <c r="D32" i="11"/>
  <c r="N33" i="11"/>
  <c r="L32" i="11"/>
  <c r="N31" i="11"/>
  <c r="J31" i="11"/>
  <c r="J30" i="11"/>
  <c r="N29" i="11"/>
  <c r="H29" i="11"/>
  <c r="H28" i="11"/>
  <c r="F27" i="11"/>
  <c r="D25" i="11"/>
  <c r="B23" i="11"/>
  <c r="B22" i="11"/>
  <c r="C21" i="11"/>
  <c r="I39" i="11" s="1"/>
  <c r="Q24" i="10"/>
  <c r="Q23" i="10"/>
  <c r="Q22" i="10"/>
  <c r="E35" i="10" s="1"/>
  <c r="C35" i="10"/>
  <c r="N27" i="10"/>
  <c r="N33" i="10"/>
  <c r="L32" i="10"/>
  <c r="D32" i="10"/>
  <c r="N31" i="10"/>
  <c r="J31" i="10"/>
  <c r="J30" i="10"/>
  <c r="N29" i="10"/>
  <c r="H29" i="10"/>
  <c r="H28" i="10"/>
  <c r="F27" i="10"/>
  <c r="D25" i="10"/>
  <c r="B23" i="10"/>
  <c r="B22" i="10"/>
  <c r="C21" i="10"/>
  <c r="Q23" i="9"/>
  <c r="C35" i="9"/>
  <c r="Q22" i="9" s="1"/>
  <c r="E35" i="9" s="1"/>
  <c r="I39" i="9"/>
  <c r="B22" i="9"/>
  <c r="B23" i="9"/>
  <c r="N33" i="9"/>
  <c r="L33" i="9"/>
  <c r="L32" i="9"/>
  <c r="D32" i="9"/>
  <c r="N31" i="9"/>
  <c r="J31" i="9"/>
  <c r="J30" i="9"/>
  <c r="N29" i="9"/>
  <c r="H29" i="9"/>
  <c r="H28" i="9"/>
  <c r="N27" i="9"/>
  <c r="F27" i="9"/>
  <c r="D25" i="9"/>
  <c r="C21" i="9"/>
  <c r="Q28" i="8"/>
  <c r="I35" i="8"/>
  <c r="Q29" i="8"/>
  <c r="C35" i="8"/>
  <c r="Q22" i="8" s="1"/>
  <c r="D25" i="8"/>
  <c r="D32" i="8"/>
  <c r="L32" i="8"/>
  <c r="L33" i="8"/>
  <c r="N31" i="8"/>
  <c r="J31" i="8"/>
  <c r="J30" i="8"/>
  <c r="N29" i="8"/>
  <c r="H29" i="8"/>
  <c r="H28" i="8"/>
  <c r="N27" i="8"/>
  <c r="F27" i="8"/>
  <c r="N23" i="8"/>
  <c r="B23" i="8"/>
  <c r="C21" i="8"/>
  <c r="I39" i="8" s="1"/>
  <c r="I39" i="7"/>
  <c r="N25" i="7"/>
  <c r="N31" i="7"/>
  <c r="J31" i="7"/>
  <c r="J30" i="7"/>
  <c r="L32" i="7"/>
  <c r="D32" i="7"/>
  <c r="L32" i="6"/>
  <c r="L30" i="6"/>
  <c r="J30" i="6"/>
  <c r="J31" i="6"/>
  <c r="C35" i="6"/>
  <c r="Q23" i="6"/>
  <c r="O35" i="6" s="1"/>
  <c r="Q31" i="6" s="1"/>
  <c r="K35" i="6" s="1"/>
  <c r="Q30" i="6" s="1"/>
  <c r="M35" i="6" s="1"/>
  <c r="Q32" i="6" s="1"/>
  <c r="E35" i="6" s="1"/>
  <c r="Q24" i="6" s="1"/>
  <c r="Q22" i="6"/>
  <c r="N29" i="7"/>
  <c r="H29" i="7"/>
  <c r="H28" i="7"/>
  <c r="N27" i="7"/>
  <c r="F27" i="7"/>
  <c r="N23" i="7"/>
  <c r="B23" i="7"/>
  <c r="C21" i="7"/>
  <c r="C35" i="7" s="1"/>
  <c r="N23" i="6"/>
  <c r="B23" i="6"/>
  <c r="N29" i="6"/>
  <c r="H29" i="6"/>
  <c r="H28" i="6"/>
  <c r="N27" i="6"/>
  <c r="F27" i="6"/>
  <c r="C21" i="6"/>
  <c r="O35" i="5"/>
  <c r="Q22" i="5"/>
  <c r="H39" i="5"/>
  <c r="C35" i="5"/>
  <c r="Q23" i="5" s="1"/>
  <c r="N23" i="5"/>
  <c r="N29" i="5"/>
  <c r="H29" i="5"/>
  <c r="H28" i="5"/>
  <c r="J30" i="5"/>
  <c r="L30" i="5"/>
  <c r="L32" i="5"/>
  <c r="B32" i="5"/>
  <c r="N27" i="5"/>
  <c r="F27" i="5"/>
  <c r="C21" i="5"/>
  <c r="C21" i="4"/>
  <c r="N27" i="4"/>
  <c r="F27" i="4"/>
  <c r="L32" i="4"/>
  <c r="L30" i="4"/>
  <c r="J30" i="4"/>
  <c r="J28" i="4"/>
  <c r="H28" i="4"/>
  <c r="H29" i="4"/>
  <c r="G59" i="2"/>
  <c r="C33" i="3"/>
  <c r="H37" i="3"/>
  <c r="Q24" i="2"/>
  <c r="Q19" i="2"/>
  <c r="O8" i="2"/>
  <c r="O9" i="2" s="1"/>
  <c r="U7" i="2"/>
  <c r="Q28" i="2" s="1"/>
  <c r="X6" i="2"/>
  <c r="U6" i="2"/>
  <c r="Q26" i="2" s="1"/>
  <c r="U5" i="2"/>
  <c r="X4" i="2"/>
  <c r="U4" i="2"/>
  <c r="O4" i="2"/>
  <c r="X8" i="2" s="1"/>
  <c r="U3" i="2"/>
  <c r="Q20" i="2" s="1"/>
  <c r="K31" i="1"/>
  <c r="K23" i="1"/>
  <c r="B6" i="1"/>
  <c r="C8" i="1"/>
  <c r="B8" i="1" s="1"/>
  <c r="D10" i="1"/>
  <c r="C10" i="1" s="1"/>
  <c r="B10" i="1" s="1"/>
  <c r="G14" i="1"/>
  <c r="F14" i="1" s="1"/>
  <c r="E14" i="1" s="1"/>
  <c r="D14" i="1" s="1"/>
  <c r="C14" i="1" s="1"/>
  <c r="B14" i="1" s="1"/>
  <c r="F12" i="1"/>
  <c r="F13" i="1" s="1"/>
  <c r="E11" i="1"/>
  <c r="D11" i="1" s="1"/>
  <c r="C11" i="1" s="1"/>
  <c r="B11" i="1" s="1"/>
  <c r="E10" i="1"/>
  <c r="F10" i="1" s="1"/>
  <c r="G10" i="1" s="1"/>
  <c r="D8" i="1"/>
  <c r="D9" i="1" s="1"/>
  <c r="C6" i="1"/>
  <c r="D6" i="1" s="1"/>
  <c r="E6" i="1" s="1"/>
  <c r="F6" i="1" s="1"/>
  <c r="G6" i="1" s="1"/>
  <c r="B5" i="1"/>
  <c r="B4" i="1"/>
  <c r="C4" i="1" s="1"/>
  <c r="D4" i="1" s="1"/>
  <c r="C3" i="1"/>
  <c r="D3" i="1" s="1"/>
  <c r="E3" i="1" s="1"/>
  <c r="F3" i="1" s="1"/>
  <c r="G3" i="1" s="1"/>
  <c r="X7" i="1"/>
  <c r="O4" i="1"/>
  <c r="X4" i="1" s="1"/>
  <c r="V5" i="1"/>
  <c r="K29" i="1" s="1"/>
  <c r="V6" i="1"/>
  <c r="V7" i="1"/>
  <c r="K33" i="1" s="1"/>
  <c r="V3" i="1"/>
  <c r="K25" i="1" s="1"/>
  <c r="U5" i="1"/>
  <c r="K28" i="1" s="1"/>
  <c r="U6" i="1"/>
  <c r="K30" i="1" s="1"/>
  <c r="U8" i="1"/>
  <c r="K34" i="1" s="1"/>
  <c r="U4" i="1"/>
  <c r="K26" i="1" s="1"/>
  <c r="U3" i="1"/>
  <c r="O8" i="1"/>
  <c r="O9" i="1" s="1"/>
  <c r="V4" i="1" s="1"/>
  <c r="K27" i="1" s="1"/>
  <c r="Q23" i="7" l="1"/>
  <c r="O35" i="7" s="1"/>
  <c r="Q22" i="7"/>
  <c r="E4" i="1"/>
  <c r="F4" i="1" s="1"/>
  <c r="E13" i="1"/>
  <c r="D13" i="1" s="1"/>
  <c r="C13" i="1" s="1"/>
  <c r="B13" i="1" s="1"/>
  <c r="G13" i="1"/>
  <c r="C9" i="1"/>
  <c r="B9" i="1" s="1"/>
  <c r="E9" i="1"/>
  <c r="F9" i="1" s="1"/>
  <c r="G9" i="1" s="1"/>
  <c r="G12" i="1"/>
  <c r="X6" i="1"/>
  <c r="C7" i="1"/>
  <c r="G15" i="1"/>
  <c r="F15" i="1" s="1"/>
  <c r="E15" i="1" s="1"/>
  <c r="D15" i="1" s="1"/>
  <c r="C15" i="1" s="1"/>
  <c r="B15" i="1" s="1"/>
  <c r="E12" i="1"/>
  <c r="D12" i="1" s="1"/>
  <c r="C12" i="1" s="1"/>
  <c r="B12" i="1" s="1"/>
  <c r="X3" i="1"/>
  <c r="Y3" i="1" s="1"/>
  <c r="B38" i="1" s="1"/>
  <c r="X5" i="1"/>
  <c r="Y5" i="1" s="1"/>
  <c r="D38" i="1" s="1"/>
  <c r="F11" i="1"/>
  <c r="G11" i="1" s="1"/>
  <c r="U7" i="1"/>
  <c r="K32" i="1" s="1"/>
  <c r="V8" i="1"/>
  <c r="K35" i="1" s="1"/>
  <c r="X8" i="1"/>
  <c r="E8" i="1"/>
  <c r="F8" i="1" s="1"/>
  <c r="G8" i="1" s="1"/>
  <c r="Q30" i="3"/>
  <c r="Q20" i="3"/>
  <c r="H39" i="4"/>
  <c r="C35" i="4"/>
  <c r="Q24" i="11"/>
  <c r="Q32" i="11"/>
  <c r="Q25" i="11"/>
  <c r="V10" i="1"/>
  <c r="K24" i="1"/>
  <c r="Q27" i="5"/>
  <c r="G35" i="5" s="1"/>
  <c r="Q26" i="5" s="1"/>
  <c r="Q25" i="5"/>
  <c r="Q29" i="5"/>
  <c r="I35" i="5" s="1"/>
  <c r="Q28" i="5" s="1"/>
  <c r="Q31" i="7"/>
  <c r="K35" i="7" s="1"/>
  <c r="Q30" i="7" s="1"/>
  <c r="Q29" i="7"/>
  <c r="I35" i="7" s="1"/>
  <c r="Q28" i="7" s="1"/>
  <c r="Q25" i="7"/>
  <c r="E35" i="7" s="1"/>
  <c r="Q24" i="9"/>
  <c r="Q25" i="9"/>
  <c r="Q27" i="7"/>
  <c r="G35" i="7" s="1"/>
  <c r="Q26" i="7" s="1"/>
  <c r="Q27" i="12"/>
  <c r="G35" i="12" s="1"/>
  <c r="Q26" i="12" s="1"/>
  <c r="Q25" i="12"/>
  <c r="Q29" i="12"/>
  <c r="Y7" i="1"/>
  <c r="F38" i="1" s="1"/>
  <c r="Q32" i="9"/>
  <c r="M35" i="9" s="1"/>
  <c r="Q33" i="9" s="1"/>
  <c r="O35" i="9" s="1"/>
  <c r="N21" i="9" s="1"/>
  <c r="Q32" i="10"/>
  <c r="M35" i="10" s="1"/>
  <c r="Q27" i="10"/>
  <c r="Q25" i="10"/>
  <c r="Q32" i="5"/>
  <c r="Q23" i="8"/>
  <c r="O35" i="8" s="1"/>
  <c r="Y8" i="2"/>
  <c r="L33" i="2" s="1"/>
  <c r="X5" i="2"/>
  <c r="Y5" i="2" s="1"/>
  <c r="F33" i="2" s="1"/>
  <c r="X7" i="2"/>
  <c r="Y7" i="2" s="1"/>
  <c r="J33" i="2" s="1"/>
  <c r="I39" i="10"/>
  <c r="Q25" i="6"/>
  <c r="D25" i="6" s="1"/>
  <c r="Q29" i="6"/>
  <c r="I35" i="6" s="1"/>
  <c r="Q28" i="6" s="1"/>
  <c r="Q33" i="6"/>
  <c r="Q27" i="6"/>
  <c r="G35" i="6" s="1"/>
  <c r="Q26" i="6" s="1"/>
  <c r="B32" i="6"/>
  <c r="L21" i="6"/>
  <c r="L22" i="6"/>
  <c r="V3" i="2"/>
  <c r="Q21" i="2" s="1"/>
  <c r="V7" i="2"/>
  <c r="Q29" i="2" s="1"/>
  <c r="V6" i="2"/>
  <c r="Q27" i="2" s="1"/>
  <c r="V5" i="2"/>
  <c r="Q25" i="2" s="1"/>
  <c r="V4" i="2"/>
  <c r="Q23" i="2" s="1"/>
  <c r="V8" i="2"/>
  <c r="Q31" i="2" s="1"/>
  <c r="X3" i="2"/>
  <c r="Y3" i="2" s="1"/>
  <c r="B33" i="2" s="1"/>
  <c r="U8" i="2"/>
  <c r="Q30" i="2" s="1"/>
  <c r="Y8" i="1"/>
  <c r="G38" i="1" s="1"/>
  <c r="Y6" i="1"/>
  <c r="E38" i="1" l="1"/>
  <c r="B33" i="9"/>
  <c r="M35" i="5"/>
  <c r="E35" i="5"/>
  <c r="Q24" i="5" s="1"/>
  <c r="O35" i="12"/>
  <c r="I35" i="12"/>
  <c r="Q28" i="12" s="1"/>
  <c r="M33" i="3"/>
  <c r="E33" i="3"/>
  <c r="G33" i="3"/>
  <c r="Y6" i="2"/>
  <c r="H33" i="2" s="1"/>
  <c r="Q22" i="4"/>
  <c r="Q32" i="4"/>
  <c r="Y4" i="2"/>
  <c r="D33" i="2" s="1"/>
  <c r="Q24" i="7"/>
  <c r="Q32" i="7"/>
  <c r="M35" i="7" s="1"/>
  <c r="Q33" i="7" s="1"/>
  <c r="B7" i="1"/>
  <c r="D7" i="1"/>
  <c r="E7" i="1" s="1"/>
  <c r="F7" i="1" s="1"/>
  <c r="G7" i="1" s="1"/>
  <c r="G4" i="1"/>
  <c r="Q31" i="9"/>
  <c r="K35" i="9" s="1"/>
  <c r="Q30" i="9" s="1"/>
  <c r="Q29" i="9"/>
  <c r="I35" i="9" s="1"/>
  <c r="Q27" i="9"/>
  <c r="G35" i="9" s="1"/>
  <c r="Q26" i="9" s="1"/>
  <c r="H33" i="9"/>
  <c r="Q27" i="8"/>
  <c r="G35" i="8" s="1"/>
  <c r="Q26" i="8" s="1"/>
  <c r="Q31" i="8"/>
  <c r="K35" i="8" s="1"/>
  <c r="Q30" i="8" s="1"/>
  <c r="Q33" i="8"/>
  <c r="M35" i="8" s="1"/>
  <c r="Q32" i="8" s="1"/>
  <c r="E35" i="8" s="1"/>
  <c r="O35" i="10"/>
  <c r="G35" i="10"/>
  <c r="Q26" i="10" s="1"/>
  <c r="M35" i="11"/>
  <c r="O35" i="11"/>
  <c r="L20" i="3"/>
  <c r="D20" i="3"/>
  <c r="F20" i="3"/>
  <c r="Y4" i="1"/>
  <c r="C38" i="1" s="1"/>
  <c r="L27" i="9"/>
  <c r="N23" i="9"/>
  <c r="B29" i="9"/>
  <c r="L29" i="9"/>
  <c r="L21" i="9"/>
  <c r="B31" i="9"/>
  <c r="L31" i="9"/>
  <c r="N22" i="8"/>
  <c r="N32" i="6"/>
  <c r="D33" i="6"/>
  <c r="B33" i="6"/>
  <c r="D21" i="6"/>
  <c r="J33" i="6"/>
  <c r="D30" i="6"/>
  <c r="B30" i="6"/>
  <c r="L23" i="6"/>
  <c r="D23" i="6"/>
  <c r="D22" i="5"/>
  <c r="V10" i="2"/>
  <c r="Y10" i="2"/>
  <c r="L22" i="4" l="1"/>
  <c r="D22" i="4"/>
  <c r="I41" i="1"/>
  <c r="Q28" i="3"/>
  <c r="L19" i="3"/>
  <c r="Q31" i="3"/>
  <c r="Q33" i="12"/>
  <c r="Q31" i="12"/>
  <c r="K35" i="12" s="1"/>
  <c r="Q30" i="12" s="1"/>
  <c r="Q32" i="12"/>
  <c r="Q31" i="11"/>
  <c r="K35" i="11" s="1"/>
  <c r="Q30" i="11" s="1"/>
  <c r="Q29" i="11"/>
  <c r="I35" i="11" s="1"/>
  <c r="Q28" i="11" s="1"/>
  <c r="Q33" i="11"/>
  <c r="N27" i="11"/>
  <c r="H31" i="9"/>
  <c r="H27" i="9"/>
  <c r="Q28" i="9"/>
  <c r="H21" i="9"/>
  <c r="Q24" i="3"/>
  <c r="F19" i="3"/>
  <c r="Q25" i="3"/>
  <c r="Y10" i="1"/>
  <c r="Y11" i="1" s="1"/>
  <c r="H38" i="1" s="1"/>
  <c r="Q25" i="8"/>
  <c r="Q24" i="8"/>
  <c r="J27" i="9"/>
  <c r="B27" i="9"/>
  <c r="Q31" i="10"/>
  <c r="K35" i="10" s="1"/>
  <c r="Q30" i="10" s="1"/>
  <c r="Q33" i="10"/>
  <c r="Q29" i="10"/>
  <c r="I35" i="10" s="1"/>
  <c r="Q28" i="10" s="1"/>
  <c r="M35" i="4"/>
  <c r="E35" i="4"/>
  <c r="Q22" i="3"/>
  <c r="D19" i="3"/>
  <c r="Q33" i="5"/>
  <c r="Q30" i="5"/>
  <c r="K35" i="5" s="1"/>
  <c r="D23" i="12"/>
  <c r="D21" i="11"/>
  <c r="D23" i="11"/>
  <c r="D21" i="10"/>
  <c r="D23" i="10"/>
  <c r="N32" i="9"/>
  <c r="F32" i="9"/>
  <c r="B32" i="9"/>
  <c r="H32" i="9"/>
  <c r="J32" i="9"/>
  <c r="J22" i="9"/>
  <c r="H22" i="9"/>
  <c r="F22" i="9"/>
  <c r="L22" i="9"/>
  <c r="N22" i="9"/>
  <c r="F29" i="9"/>
  <c r="F21" i="9"/>
  <c r="F28" i="9"/>
  <c r="F33" i="9"/>
  <c r="J23" i="9"/>
  <c r="H23" i="9"/>
  <c r="L23" i="9"/>
  <c r="D23" i="9"/>
  <c r="F23" i="9"/>
  <c r="F31" i="9"/>
  <c r="J29" i="9"/>
  <c r="J21" i="9"/>
  <c r="J33" i="9"/>
  <c r="N25" i="8"/>
  <c r="N21" i="8"/>
  <c r="N24" i="6"/>
  <c r="D22" i="6"/>
  <c r="N21" i="7"/>
  <c r="N22" i="7"/>
  <c r="J23" i="6"/>
  <c r="J21" i="6"/>
  <c r="J22" i="6"/>
  <c r="N21" i="6"/>
  <c r="N22" i="6"/>
  <c r="B24" i="6"/>
  <c r="J24" i="6"/>
  <c r="L24" i="6"/>
  <c r="N30" i="6"/>
  <c r="N33" i="6"/>
  <c r="L21" i="5"/>
  <c r="L22" i="5"/>
  <c r="D21" i="5"/>
  <c r="Y11" i="2"/>
  <c r="N33" i="2" s="1"/>
  <c r="N28" i="9" l="1"/>
  <c r="L28" i="9"/>
  <c r="B28" i="9"/>
  <c r="D21" i="4"/>
  <c r="Q24" i="4"/>
  <c r="D24" i="3"/>
  <c r="B24" i="3"/>
  <c r="L24" i="3"/>
  <c r="D28" i="3"/>
  <c r="K33" i="3"/>
  <c r="B28" i="3"/>
  <c r="F28" i="3"/>
  <c r="F22" i="3"/>
  <c r="L22" i="3"/>
  <c r="J22" i="3"/>
  <c r="B22" i="3"/>
  <c r="L25" i="3"/>
  <c r="J25" i="3"/>
  <c r="D25" i="3"/>
  <c r="O33" i="3"/>
  <c r="N24" i="3" s="1"/>
  <c r="B25" i="3"/>
  <c r="J31" i="3"/>
  <c r="F31" i="3"/>
  <c r="D31" i="3"/>
  <c r="B31" i="3"/>
  <c r="J28" i="9"/>
  <c r="Q31" i="5"/>
  <c r="J28" i="5"/>
  <c r="L21" i="4"/>
  <c r="Q33" i="4"/>
  <c r="Q30" i="4"/>
  <c r="D32" i="12"/>
  <c r="M35" i="12"/>
  <c r="D21" i="12"/>
  <c r="B25" i="11"/>
  <c r="N25" i="11"/>
  <c r="F24" i="11"/>
  <c r="B27" i="11"/>
  <c r="B24" i="11"/>
  <c r="B32" i="11"/>
  <c r="B32" i="10"/>
  <c r="B24" i="10"/>
  <c r="B25" i="10"/>
  <c r="N30" i="9"/>
  <c r="F30" i="9"/>
  <c r="B30" i="9"/>
  <c r="H30" i="9"/>
  <c r="L30" i="9"/>
  <c r="D30" i="9"/>
  <c r="N26" i="9"/>
  <c r="D26" i="9"/>
  <c r="L26" i="9"/>
  <c r="H26" i="9"/>
  <c r="B26" i="9"/>
  <c r="J26" i="9"/>
  <c r="D29" i="9"/>
  <c r="D21" i="9"/>
  <c r="D33" i="9"/>
  <c r="D28" i="9"/>
  <c r="D27" i="9"/>
  <c r="D31" i="9"/>
  <c r="F31" i="8"/>
  <c r="B27" i="8"/>
  <c r="B31" i="8"/>
  <c r="J29" i="8"/>
  <c r="H31" i="8"/>
  <c r="B29" i="8"/>
  <c r="F29" i="8"/>
  <c r="B25" i="8"/>
  <c r="D29" i="8"/>
  <c r="H25" i="8"/>
  <c r="H25" i="7"/>
  <c r="B29" i="7"/>
  <c r="B27" i="7"/>
  <c r="F25" i="7"/>
  <c r="H27" i="7"/>
  <c r="B25" i="7"/>
  <c r="F31" i="7"/>
  <c r="J27" i="7"/>
  <c r="B31" i="7"/>
  <c r="F31" i="6"/>
  <c r="L27" i="6"/>
  <c r="D27" i="6"/>
  <c r="J27" i="6"/>
  <c r="B27" i="6"/>
  <c r="F29" i="6"/>
  <c r="L29" i="6"/>
  <c r="D29" i="6"/>
  <c r="H31" i="6"/>
  <c r="J29" i="6"/>
  <c r="B29" i="6"/>
  <c r="L25" i="6"/>
  <c r="J25" i="6"/>
  <c r="B25" i="6"/>
  <c r="D31" i="6"/>
  <c r="L31" i="6"/>
  <c r="B31" i="6"/>
  <c r="D30" i="5"/>
  <c r="B30" i="5"/>
  <c r="L24" i="5"/>
  <c r="B24" i="5"/>
  <c r="D33" i="5"/>
  <c r="J33" i="5"/>
  <c r="B33" i="5"/>
  <c r="B33" i="4" l="1"/>
  <c r="J33" i="4"/>
  <c r="D33" i="4"/>
  <c r="N28" i="3"/>
  <c r="N31" i="3"/>
  <c r="N22" i="3"/>
  <c r="Q23" i="3"/>
  <c r="N19" i="3"/>
  <c r="Q21" i="3"/>
  <c r="N30" i="3"/>
  <c r="N20" i="3"/>
  <c r="B30" i="4"/>
  <c r="K35" i="4"/>
  <c r="D30" i="4"/>
  <c r="J19" i="3"/>
  <c r="Q29" i="3"/>
  <c r="Q26" i="3"/>
  <c r="J30" i="3"/>
  <c r="J20" i="3"/>
  <c r="J24" i="3"/>
  <c r="L24" i="4"/>
  <c r="J24" i="4"/>
  <c r="B24" i="4"/>
  <c r="B24" i="12"/>
  <c r="B25" i="12"/>
  <c r="F32" i="12"/>
  <c r="B27" i="12"/>
  <c r="B32" i="12"/>
  <c r="N25" i="12"/>
  <c r="L25" i="12"/>
  <c r="N24" i="11"/>
  <c r="L21" i="11"/>
  <c r="L23" i="11"/>
  <c r="L22" i="11"/>
  <c r="L27" i="11"/>
  <c r="F21" i="11"/>
  <c r="F23" i="11"/>
  <c r="F22" i="11"/>
  <c r="F25" i="11"/>
  <c r="F32" i="11"/>
  <c r="L24" i="11"/>
  <c r="N21" i="11"/>
  <c r="N23" i="11"/>
  <c r="N22" i="11"/>
  <c r="L25" i="11"/>
  <c r="L21" i="10"/>
  <c r="L33" i="10"/>
  <c r="L23" i="10"/>
  <c r="L22" i="10"/>
  <c r="L24" i="10"/>
  <c r="L25" i="10"/>
  <c r="L24" i="9"/>
  <c r="B24" i="9"/>
  <c r="J24" i="9"/>
  <c r="N24" i="9"/>
  <c r="F24" i="9"/>
  <c r="H24" i="9"/>
  <c r="L25" i="9"/>
  <c r="J25" i="9"/>
  <c r="N25" i="9"/>
  <c r="F25" i="9"/>
  <c r="B25" i="9"/>
  <c r="H25" i="9"/>
  <c r="J27" i="8"/>
  <c r="F25" i="8"/>
  <c r="J25" i="8"/>
  <c r="D31" i="8"/>
  <c r="J21" i="8"/>
  <c r="J23" i="8"/>
  <c r="J22" i="8"/>
  <c r="D27" i="8"/>
  <c r="H21" i="8"/>
  <c r="H22" i="8"/>
  <c r="H23" i="8"/>
  <c r="H27" i="8"/>
  <c r="D21" i="8"/>
  <c r="D23" i="8"/>
  <c r="D22" i="8"/>
  <c r="F21" i="8"/>
  <c r="F22" i="8"/>
  <c r="F23" i="8"/>
  <c r="J29" i="7"/>
  <c r="H31" i="7"/>
  <c r="J25" i="7"/>
  <c r="J21" i="7"/>
  <c r="J22" i="7"/>
  <c r="J23" i="7"/>
  <c r="H21" i="7"/>
  <c r="H22" i="7"/>
  <c r="H23" i="7"/>
  <c r="F21" i="7"/>
  <c r="F22" i="7"/>
  <c r="F23" i="7"/>
  <c r="F29" i="7"/>
  <c r="F25" i="6"/>
  <c r="H32" i="6"/>
  <c r="H21" i="6"/>
  <c r="H22" i="6"/>
  <c r="J32" i="6"/>
  <c r="H33" i="6"/>
  <c r="H30" i="6"/>
  <c r="H23" i="6"/>
  <c r="H24" i="6"/>
  <c r="H27" i="6"/>
  <c r="H25" i="6"/>
  <c r="F21" i="6"/>
  <c r="F32" i="6"/>
  <c r="F22" i="6"/>
  <c r="F33" i="6"/>
  <c r="F30" i="6"/>
  <c r="F23" i="6"/>
  <c r="F24" i="6"/>
  <c r="J21" i="5"/>
  <c r="J22" i="5"/>
  <c r="J24" i="5"/>
  <c r="N26" i="3" l="1"/>
  <c r="L26" i="3"/>
  <c r="F26" i="3"/>
  <c r="I33" i="3"/>
  <c r="B26" i="3"/>
  <c r="D26" i="3"/>
  <c r="F29" i="3"/>
  <c r="D29" i="3"/>
  <c r="N29" i="3"/>
  <c r="L29" i="3"/>
  <c r="B29" i="3"/>
  <c r="B23" i="3"/>
  <c r="H23" i="3"/>
  <c r="F23" i="3"/>
  <c r="L23" i="3"/>
  <c r="J23" i="3"/>
  <c r="D23" i="3"/>
  <c r="Q31" i="4"/>
  <c r="J21" i="4"/>
  <c r="Q28" i="4"/>
  <c r="J22" i="4"/>
  <c r="L21" i="3"/>
  <c r="J21" i="3"/>
  <c r="D21" i="3"/>
  <c r="H21" i="3"/>
  <c r="F21" i="3"/>
  <c r="B21" i="3"/>
  <c r="L27" i="12"/>
  <c r="L21" i="12"/>
  <c r="L22" i="12"/>
  <c r="L23" i="12"/>
  <c r="F21" i="12"/>
  <c r="F23" i="12"/>
  <c r="F22" i="12"/>
  <c r="F24" i="12"/>
  <c r="F25" i="12"/>
  <c r="N21" i="12"/>
  <c r="N22" i="12"/>
  <c r="N23" i="12"/>
  <c r="N27" i="12"/>
  <c r="N24" i="12"/>
  <c r="L24" i="12"/>
  <c r="B33" i="11"/>
  <c r="F33" i="11"/>
  <c r="L33" i="11"/>
  <c r="D33" i="11"/>
  <c r="F29" i="11"/>
  <c r="L29" i="11"/>
  <c r="D29" i="11"/>
  <c r="B29" i="11"/>
  <c r="N26" i="11"/>
  <c r="D26" i="11"/>
  <c r="L26" i="11"/>
  <c r="B26" i="11"/>
  <c r="H31" i="11"/>
  <c r="F31" i="11"/>
  <c r="L31" i="11"/>
  <c r="D31" i="11"/>
  <c r="J33" i="11"/>
  <c r="B31" i="11"/>
  <c r="D33" i="10"/>
  <c r="B33" i="10"/>
  <c r="B26" i="8"/>
  <c r="D26" i="8"/>
  <c r="J26" i="8"/>
  <c r="H26" i="8"/>
  <c r="N26" i="8"/>
  <c r="L30" i="8"/>
  <c r="J32" i="8"/>
  <c r="B32" i="8"/>
  <c r="F32" i="8"/>
  <c r="H32" i="8"/>
  <c r="N32" i="8"/>
  <c r="H24" i="8"/>
  <c r="N24" i="8"/>
  <c r="F24" i="8"/>
  <c r="L24" i="8"/>
  <c r="B24" i="8"/>
  <c r="J24" i="8"/>
  <c r="L28" i="8"/>
  <c r="D28" i="8"/>
  <c r="N28" i="8"/>
  <c r="J28" i="8"/>
  <c r="B28" i="8"/>
  <c r="F28" i="8"/>
  <c r="D30" i="8"/>
  <c r="N30" i="8"/>
  <c r="B30" i="8"/>
  <c r="F30" i="8"/>
  <c r="H30" i="8"/>
  <c r="N28" i="7"/>
  <c r="F28" i="7"/>
  <c r="J28" i="7"/>
  <c r="B28" i="7"/>
  <c r="L30" i="7"/>
  <c r="N30" i="7"/>
  <c r="F30" i="7"/>
  <c r="B30" i="7"/>
  <c r="H30" i="7"/>
  <c r="N26" i="7"/>
  <c r="L26" i="7"/>
  <c r="B26" i="7"/>
  <c r="J26" i="7"/>
  <c r="H26" i="7"/>
  <c r="H26" i="6"/>
  <c r="N26" i="6"/>
  <c r="D26" i="6"/>
  <c r="L26" i="6"/>
  <c r="B26" i="6"/>
  <c r="J26" i="6"/>
  <c r="N28" i="6"/>
  <c r="F28" i="6"/>
  <c r="L28" i="6"/>
  <c r="D28" i="6"/>
  <c r="J28" i="6"/>
  <c r="B28" i="6"/>
  <c r="L28" i="5"/>
  <c r="D28" i="5"/>
  <c r="B28" i="5"/>
  <c r="H31" i="5"/>
  <c r="D31" i="5"/>
  <c r="L31" i="5"/>
  <c r="B31" i="5"/>
  <c r="H19" i="3" l="1"/>
  <c r="Q27" i="3"/>
  <c r="H20" i="3"/>
  <c r="H30" i="3"/>
  <c r="H24" i="3"/>
  <c r="H28" i="3"/>
  <c r="H22" i="3"/>
  <c r="H25" i="3"/>
  <c r="H31" i="3"/>
  <c r="L31" i="4"/>
  <c r="H31" i="4"/>
  <c r="D31" i="4"/>
  <c r="B31" i="4"/>
  <c r="D28" i="4"/>
  <c r="L28" i="4"/>
  <c r="B28" i="4"/>
  <c r="I35" i="4"/>
  <c r="H29" i="3"/>
  <c r="F33" i="12"/>
  <c r="B33" i="12"/>
  <c r="L33" i="12"/>
  <c r="D33" i="12"/>
  <c r="F31" i="12"/>
  <c r="L31" i="12"/>
  <c r="D31" i="12"/>
  <c r="J33" i="12"/>
  <c r="B31" i="12"/>
  <c r="H31" i="12"/>
  <c r="F29" i="12"/>
  <c r="L29" i="12"/>
  <c r="B29" i="12"/>
  <c r="N26" i="12"/>
  <c r="D26" i="12"/>
  <c r="L26" i="12"/>
  <c r="B26" i="12"/>
  <c r="H26" i="12"/>
  <c r="J29" i="11"/>
  <c r="J26" i="11"/>
  <c r="J21" i="11"/>
  <c r="J23" i="11"/>
  <c r="J22" i="11"/>
  <c r="J25" i="11"/>
  <c r="J27" i="11"/>
  <c r="J24" i="11"/>
  <c r="H21" i="11"/>
  <c r="H23" i="11"/>
  <c r="H22" i="11"/>
  <c r="H25" i="11"/>
  <c r="H24" i="11"/>
  <c r="J32" i="11"/>
  <c r="H27" i="11"/>
  <c r="H32" i="11"/>
  <c r="H26" i="11"/>
  <c r="H33" i="11"/>
  <c r="N21" i="10"/>
  <c r="N22" i="10"/>
  <c r="N23" i="10"/>
  <c r="N32" i="10"/>
  <c r="N24" i="10"/>
  <c r="N25" i="10"/>
  <c r="L21" i="8"/>
  <c r="L23" i="8"/>
  <c r="L22" i="8"/>
  <c r="L29" i="8"/>
  <c r="L27" i="8"/>
  <c r="L31" i="8"/>
  <c r="L25" i="8"/>
  <c r="L26" i="8"/>
  <c r="L21" i="7"/>
  <c r="L23" i="7"/>
  <c r="L22" i="7"/>
  <c r="L25" i="7"/>
  <c r="L29" i="7"/>
  <c r="L27" i="7"/>
  <c r="L31" i="7"/>
  <c r="L28" i="7"/>
  <c r="H21" i="5"/>
  <c r="H22" i="5"/>
  <c r="J32" i="5"/>
  <c r="H32" i="5"/>
  <c r="H30" i="5"/>
  <c r="H33" i="5"/>
  <c r="H24" i="5"/>
  <c r="N27" i="3" l="1"/>
  <c r="B27" i="3"/>
  <c r="D27" i="3"/>
  <c r="J27" i="3"/>
  <c r="F27" i="3"/>
  <c r="L27" i="3"/>
  <c r="Q29" i="4"/>
  <c r="H21" i="4"/>
  <c r="H22" i="4"/>
  <c r="J32" i="4"/>
  <c r="H32" i="4"/>
  <c r="H24" i="4"/>
  <c r="H30" i="4"/>
  <c r="H33" i="4"/>
  <c r="J21" i="12"/>
  <c r="J22" i="12"/>
  <c r="J23" i="12"/>
  <c r="J24" i="12"/>
  <c r="J25" i="12"/>
  <c r="J27" i="12"/>
  <c r="J26" i="12"/>
  <c r="J29" i="12"/>
  <c r="H21" i="12"/>
  <c r="H23" i="12"/>
  <c r="H22" i="12"/>
  <c r="H27" i="12"/>
  <c r="H24" i="12"/>
  <c r="J32" i="12"/>
  <c r="H25" i="12"/>
  <c r="H32" i="12"/>
  <c r="H33" i="12"/>
  <c r="H30" i="11"/>
  <c r="N30" i="11"/>
  <c r="F30" i="11"/>
  <c r="L30" i="11"/>
  <c r="D30" i="11"/>
  <c r="B30" i="11"/>
  <c r="N28" i="11"/>
  <c r="F28" i="11"/>
  <c r="J28" i="11"/>
  <c r="L28" i="11"/>
  <c r="D28" i="11"/>
  <c r="B28" i="11"/>
  <c r="L29" i="10"/>
  <c r="D29" i="10"/>
  <c r="J29" i="10"/>
  <c r="H27" i="10"/>
  <c r="B29" i="10"/>
  <c r="L31" i="10"/>
  <c r="D31" i="10"/>
  <c r="J27" i="10"/>
  <c r="B31" i="10"/>
  <c r="L27" i="10"/>
  <c r="B27" i="10"/>
  <c r="D33" i="8"/>
  <c r="F33" i="8"/>
  <c r="J33" i="8"/>
  <c r="B33" i="8"/>
  <c r="H33" i="8"/>
  <c r="D33" i="7"/>
  <c r="J32" i="7"/>
  <c r="H32" i="7"/>
  <c r="N32" i="7"/>
  <c r="F32" i="7"/>
  <c r="B32" i="7"/>
  <c r="J33" i="7"/>
  <c r="B33" i="7"/>
  <c r="H33" i="7"/>
  <c r="F33" i="7"/>
  <c r="N33" i="7"/>
  <c r="L29" i="5"/>
  <c r="D29" i="5"/>
  <c r="J29" i="5"/>
  <c r="B29" i="5"/>
  <c r="L29" i="4" l="1"/>
  <c r="J29" i="4"/>
  <c r="B29" i="4"/>
  <c r="O35" i="4"/>
  <c r="D29" i="4"/>
  <c r="N28" i="12"/>
  <c r="F28" i="12"/>
  <c r="B28" i="12"/>
  <c r="L28" i="12"/>
  <c r="D28" i="12"/>
  <c r="J28" i="12"/>
  <c r="N30" i="12"/>
  <c r="F30" i="12"/>
  <c r="L30" i="12"/>
  <c r="D30" i="12"/>
  <c r="H30" i="12"/>
  <c r="B30" i="12"/>
  <c r="F21" i="10"/>
  <c r="F23" i="10"/>
  <c r="F22" i="10"/>
  <c r="F32" i="10"/>
  <c r="F24" i="10"/>
  <c r="F25" i="10"/>
  <c r="F33" i="10"/>
  <c r="H21" i="10"/>
  <c r="H22" i="10"/>
  <c r="H23" i="10"/>
  <c r="J32" i="10"/>
  <c r="H25" i="10"/>
  <c r="H32" i="10"/>
  <c r="H24" i="10"/>
  <c r="H33" i="10"/>
  <c r="F29" i="10"/>
  <c r="H31" i="10"/>
  <c r="J21" i="10"/>
  <c r="J23" i="10"/>
  <c r="J22" i="10"/>
  <c r="J24" i="10"/>
  <c r="J25" i="10"/>
  <c r="J33" i="10"/>
  <c r="F31" i="10"/>
  <c r="D21" i="7"/>
  <c r="D22" i="7"/>
  <c r="D23" i="7"/>
  <c r="D31" i="7"/>
  <c r="D29" i="7"/>
  <c r="D27" i="7"/>
  <c r="D30" i="7"/>
  <c r="D26" i="7"/>
  <c r="D28" i="7"/>
  <c r="N21" i="5"/>
  <c r="N32" i="5"/>
  <c r="N22" i="5"/>
  <c r="N30" i="5"/>
  <c r="N24" i="5"/>
  <c r="N33" i="5"/>
  <c r="N28" i="5"/>
  <c r="N31" i="5"/>
  <c r="Q23" i="4" l="1"/>
  <c r="N21" i="4"/>
  <c r="Q27" i="4"/>
  <c r="Q25" i="4"/>
  <c r="N22" i="4"/>
  <c r="N32" i="4"/>
  <c r="N33" i="4"/>
  <c r="N30" i="4"/>
  <c r="N24" i="4"/>
  <c r="N31" i="4"/>
  <c r="N28" i="4"/>
  <c r="N28" i="10"/>
  <c r="F28" i="10"/>
  <c r="L28" i="10"/>
  <c r="D28" i="10"/>
  <c r="J28" i="10"/>
  <c r="B28" i="10"/>
  <c r="N30" i="10"/>
  <c r="F30" i="10"/>
  <c r="H30" i="10"/>
  <c r="L30" i="10"/>
  <c r="D30" i="10"/>
  <c r="B30" i="10"/>
  <c r="N26" i="10"/>
  <c r="D26" i="10"/>
  <c r="L26" i="10"/>
  <c r="B26" i="10"/>
  <c r="J26" i="10"/>
  <c r="H26" i="10"/>
  <c r="J24" i="7"/>
  <c r="H24" i="7"/>
  <c r="N24" i="7"/>
  <c r="F24" i="7"/>
  <c r="L24" i="7"/>
  <c r="B24" i="7"/>
  <c r="F25" i="5"/>
  <c r="L27" i="5"/>
  <c r="D27" i="5"/>
  <c r="J27" i="5"/>
  <c r="B27" i="5"/>
  <c r="H27" i="5"/>
  <c r="H25" i="5"/>
  <c r="B25" i="5"/>
  <c r="L25" i="5"/>
  <c r="D25" i="5"/>
  <c r="J25" i="5"/>
  <c r="L23" i="5"/>
  <c r="D23" i="5"/>
  <c r="J23" i="5"/>
  <c r="F23" i="5"/>
  <c r="H23" i="5"/>
  <c r="D27" i="4" l="1"/>
  <c r="G35" i="4"/>
  <c r="H27" i="4"/>
  <c r="L27" i="4"/>
  <c r="B27" i="4"/>
  <c r="J27" i="4"/>
  <c r="H23" i="4"/>
  <c r="D23" i="4"/>
  <c r="J23" i="4"/>
  <c r="L23" i="4"/>
  <c r="B23" i="4"/>
  <c r="L25" i="4"/>
  <c r="J25" i="4"/>
  <c r="F25" i="4"/>
  <c r="B25" i="4"/>
  <c r="D25" i="4"/>
  <c r="H25" i="4"/>
  <c r="F21" i="5"/>
  <c r="F22" i="5"/>
  <c r="F32" i="5"/>
  <c r="F30" i="5"/>
  <c r="F24" i="5"/>
  <c r="F33" i="5"/>
  <c r="F28" i="5"/>
  <c r="F31" i="5"/>
  <c r="F29" i="5"/>
  <c r="F21" i="4" l="1"/>
  <c r="Q26" i="4"/>
  <c r="F32" i="4"/>
  <c r="F22" i="4"/>
  <c r="F33" i="4"/>
  <c r="F24" i="4"/>
  <c r="F30" i="4"/>
  <c r="F31" i="4"/>
  <c r="F28" i="4"/>
  <c r="F29" i="4"/>
  <c r="F23" i="4"/>
  <c r="L26" i="5"/>
  <c r="B26" i="5"/>
  <c r="D26" i="5"/>
  <c r="J26" i="5"/>
  <c r="H26" i="5"/>
  <c r="N26" i="5"/>
  <c r="N26" i="4" l="1"/>
  <c r="H26" i="4"/>
  <c r="L26" i="4"/>
  <c r="J26" i="4"/>
  <c r="B26" i="4"/>
  <c r="D26" i="4"/>
  <c r="C36" i="1" l="1"/>
  <c r="D36" i="1"/>
  <c r="E36" i="1"/>
  <c r="F36" i="1"/>
  <c r="G36" i="1"/>
  <c r="H36" i="1"/>
  <c r="B36" i="1"/>
  <c r="I38" i="1"/>
  <c r="K36" i="1"/>
  <c r="I24" i="1" l="1"/>
  <c r="I25" i="1"/>
  <c r="I26" i="1"/>
  <c r="I27" i="1"/>
  <c r="I28" i="1"/>
  <c r="I29" i="1"/>
  <c r="I30" i="1"/>
  <c r="I31" i="1"/>
  <c r="I32" i="1"/>
  <c r="I33" i="1"/>
  <c r="I34" i="1"/>
  <c r="I35" i="1"/>
  <c r="I23" i="1"/>
</calcChain>
</file>

<file path=xl/sharedStrings.xml><?xml version="1.0" encoding="utf-8"?>
<sst xmlns="http://schemas.openxmlformats.org/spreadsheetml/2006/main" count="592" uniqueCount="76">
  <si>
    <t>Julio</t>
  </si>
  <si>
    <t>Julio extra</t>
  </si>
  <si>
    <t>Agosto</t>
  </si>
  <si>
    <t>Agosto extra</t>
  </si>
  <si>
    <t>Septiembre</t>
  </si>
  <si>
    <t>Sept extra</t>
  </si>
  <si>
    <t>Octubre</t>
  </si>
  <si>
    <t>Oct extra</t>
  </si>
  <si>
    <t>Noviembre</t>
  </si>
  <si>
    <t>Nov extra</t>
  </si>
  <si>
    <t>Diciembre</t>
  </si>
  <si>
    <t>Dic extra</t>
  </si>
  <si>
    <t>Stock inicial</t>
  </si>
  <si>
    <t>Ajuste</t>
  </si>
  <si>
    <t>Coste total</t>
  </si>
  <si>
    <t>SUMA</t>
  </si>
  <si>
    <t>Totales</t>
  </si>
  <si>
    <t>Dias laborales</t>
  </si>
  <si>
    <t>Deamanda</t>
  </si>
  <si>
    <t>Stock inicial (unidades)</t>
  </si>
  <si>
    <t>Coste de inventario (€/ud.mes)</t>
  </si>
  <si>
    <t>Novienbre</t>
  </si>
  <si>
    <t>Trabajadores</t>
  </si>
  <si>
    <t>Horas laborable (h/dia)</t>
  </si>
  <si>
    <t>Ritmo de producción regular (ud/h)</t>
  </si>
  <si>
    <t>Capacidad máxima de  subcontratacion (Ud/dia)</t>
  </si>
  <si>
    <t xml:space="preserve">Coste produccion regular (€/ud) </t>
  </si>
  <si>
    <t>Coste adicional por subcontratacion (€/ud)</t>
  </si>
  <si>
    <t>Coste de diferir pedido</t>
  </si>
  <si>
    <t>Stock</t>
  </si>
  <si>
    <t>Dem. Corr.</t>
  </si>
  <si>
    <t>Cap. Reg.</t>
  </si>
  <si>
    <t>Cap. Sub.</t>
  </si>
  <si>
    <t>Capacidad producción regular (ud/dia)</t>
  </si>
  <si>
    <t>Stock de seguridad (%)</t>
  </si>
  <si>
    <t>DESTINOS</t>
  </si>
  <si>
    <t>ORIGENES</t>
  </si>
  <si>
    <t>CAPACIDAD</t>
  </si>
  <si>
    <t>DEMANDA</t>
  </si>
  <si>
    <t>COSTE</t>
  </si>
  <si>
    <t>v1</t>
  </si>
  <si>
    <t>v2</t>
  </si>
  <si>
    <t>v3</t>
  </si>
  <si>
    <t>v4</t>
  </si>
  <si>
    <t>v5</t>
  </si>
  <si>
    <t>v6</t>
  </si>
  <si>
    <t>v7</t>
  </si>
  <si>
    <t>u1</t>
  </si>
  <si>
    <t>u2</t>
  </si>
  <si>
    <t>u8</t>
  </si>
  <si>
    <t>u3</t>
  </si>
  <si>
    <t>u4</t>
  </si>
  <si>
    <t>u5</t>
  </si>
  <si>
    <t>u6</t>
  </si>
  <si>
    <t>u7</t>
  </si>
  <si>
    <t>u9</t>
  </si>
  <si>
    <t>u10</t>
  </si>
  <si>
    <t>u11</t>
  </si>
  <si>
    <t>u12</t>
  </si>
  <si>
    <t>u13</t>
  </si>
  <si>
    <t>Cap. Regular</t>
  </si>
  <si>
    <t xml:space="preserve">Julio </t>
  </si>
  <si>
    <t>Julio sub.</t>
  </si>
  <si>
    <t xml:space="preserve">Agosto </t>
  </si>
  <si>
    <t xml:space="preserve">Octubre </t>
  </si>
  <si>
    <t xml:space="preserve">Noviembre </t>
  </si>
  <si>
    <t xml:space="preserve">Diciembre </t>
  </si>
  <si>
    <t xml:space="preserve">Septiembre </t>
  </si>
  <si>
    <t>Agosto sub.</t>
  </si>
  <si>
    <t>Sept. Sub.</t>
  </si>
  <si>
    <t>Octubre sub.</t>
  </si>
  <si>
    <t>Nov. Sub.</t>
  </si>
  <si>
    <t>Dic. Sub.</t>
  </si>
  <si>
    <t xml:space="preserve">Demanda corr. </t>
  </si>
  <si>
    <t>Cap. TOTAL</t>
  </si>
  <si>
    <t>Dem.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</si>
</sst>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167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2" applyNumberFormat="1" applyFont="1"/>
    <xf numFmtId="0" fontId="0" fillId="0" borderId="0" xfId="0" applyFill="1" applyBorder="1" applyAlignment="1"/>
    <xf numFmtId="0" fontId="0" fillId="0" borderId="0" xfId="0" applyAlignment="1"/>
    <xf numFmtId="9" fontId="0" fillId="0" borderId="0" xfId="2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0" borderId="7" xfId="0" applyFont="1" applyBorder="1"/>
    <xf numFmtId="0" fontId="0" fillId="0" borderId="8" xfId="0" applyBorder="1"/>
    <xf numFmtId="0" fontId="6" fillId="0" borderId="9" xfId="0" applyFont="1" applyBorder="1"/>
    <xf numFmtId="0" fontId="0" fillId="0" borderId="10" xfId="0" applyBorder="1"/>
    <xf numFmtId="0" fontId="0" fillId="0" borderId="11" xfId="0" applyBorder="1"/>
    <xf numFmtId="0" fontId="6" fillId="0" borderId="12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11" xfId="0" applyFont="1" applyBorder="1"/>
    <xf numFmtId="0" fontId="4" fillId="0" borderId="1" xfId="0" applyFont="1" applyBorder="1"/>
    <xf numFmtId="0" fontId="4" fillId="0" borderId="6" xfId="0" applyFont="1" applyBorder="1"/>
    <xf numFmtId="0" fontId="3" fillId="3" borderId="11" xfId="4" applyBorder="1"/>
    <xf numFmtId="0" fontId="2" fillId="2" borderId="11" xfId="3" applyBorder="1"/>
    <xf numFmtId="0" fontId="3" fillId="3" borderId="1" xfId="4" applyBorder="1"/>
    <xf numFmtId="0" fontId="2" fillId="2" borderId="1" xfId="3" applyBorder="1"/>
    <xf numFmtId="0" fontId="0" fillId="0" borderId="23" xfId="0" applyBorder="1"/>
    <xf numFmtId="9" fontId="0" fillId="0" borderId="23" xfId="2" applyFont="1" applyBorder="1"/>
    <xf numFmtId="164" fontId="0" fillId="0" borderId="23" xfId="2" applyNumberFormat="1" applyFont="1" applyBorder="1"/>
    <xf numFmtId="0" fontId="0" fillId="5" borderId="23" xfId="0" applyFill="1" applyBorder="1" applyAlignment="1">
      <alignment horizontal="center"/>
    </xf>
    <xf numFmtId="0" fontId="0" fillId="5" borderId="23" xfId="0" applyFill="1" applyBorder="1"/>
    <xf numFmtId="0" fontId="6" fillId="0" borderId="26" xfId="0" applyFont="1" applyBorder="1"/>
    <xf numFmtId="0" fontId="0" fillId="0" borderId="27" xfId="0" applyBorder="1"/>
    <xf numFmtId="0" fontId="4" fillId="0" borderId="27" xfId="0" applyFont="1" applyBorder="1"/>
    <xf numFmtId="0" fontId="4" fillId="0" borderId="28" xfId="0" applyFont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4" fillId="0" borderId="25" xfId="0" applyFont="1" applyBorder="1"/>
    <xf numFmtId="0" fontId="0" fillId="0" borderId="28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6" fillId="0" borderId="36" xfId="0" applyFont="1" applyBorder="1"/>
    <xf numFmtId="0" fontId="4" fillId="0" borderId="35" xfId="0" applyFont="1" applyBorder="1"/>
    <xf numFmtId="1" fontId="4" fillId="0" borderId="1" xfId="0" applyNumberFormat="1" applyFont="1" applyBorder="1"/>
    <xf numFmtId="0" fontId="0" fillId="0" borderId="19" xfId="0" applyBorder="1"/>
    <xf numFmtId="0" fontId="5" fillId="0" borderId="6" xfId="0" applyFont="1" applyBorder="1"/>
    <xf numFmtId="0" fontId="0" fillId="0" borderId="37" xfId="0" applyBorder="1"/>
    <xf numFmtId="0" fontId="5" fillId="0" borderId="37" xfId="0" applyFont="1" applyBorder="1"/>
    <xf numFmtId="0" fontId="0" fillId="0" borderId="7" xfId="0" applyBorder="1"/>
    <xf numFmtId="0" fontId="6" fillId="0" borderId="13" xfId="0" applyFont="1" applyBorder="1"/>
    <xf numFmtId="0" fontId="6" fillId="0" borderId="38" xfId="0" applyFont="1" applyBorder="1"/>
    <xf numFmtId="0" fontId="6" fillId="0" borderId="39" xfId="0" applyFont="1" applyBorder="1"/>
    <xf numFmtId="0" fontId="6" fillId="0" borderId="40" xfId="0" applyFont="1" applyBorder="1"/>
    <xf numFmtId="0" fontId="5" fillId="0" borderId="1" xfId="0" applyFont="1" applyBorder="1" applyAlignment="1">
      <alignment horizontal="right"/>
    </xf>
    <xf numFmtId="0" fontId="0" fillId="0" borderId="9" xfId="0" applyBorder="1" applyAlignment="1">
      <alignment horizontal="center"/>
    </xf>
    <xf numFmtId="0" fontId="5" fillId="0" borderId="25" xfId="0" applyFont="1" applyBorder="1" applyAlignment="1">
      <alignment horizontal="right"/>
    </xf>
    <xf numFmtId="0" fontId="0" fillId="0" borderId="26" xfId="0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41" xfId="0" applyFont="1" applyBorder="1"/>
    <xf numFmtId="0" fontId="2" fillId="2" borderId="35" xfId="3" applyBorder="1"/>
    <xf numFmtId="44" fontId="0" fillId="0" borderId="16" xfId="1" applyFont="1" applyBorder="1"/>
    <xf numFmtId="0" fontId="3" fillId="3" borderId="28" xfId="4" applyBorder="1"/>
    <xf numFmtId="0" fontId="0" fillId="0" borderId="48" xfId="0" applyBorder="1"/>
    <xf numFmtId="0" fontId="0" fillId="0" borderId="49" xfId="0" applyBorder="1"/>
    <xf numFmtId="0" fontId="4" fillId="0" borderId="50" xfId="0" applyFont="1" applyBorder="1"/>
    <xf numFmtId="0" fontId="6" fillId="0" borderId="51" xfId="0" applyFont="1" applyBorder="1"/>
    <xf numFmtId="0" fontId="0" fillId="0" borderId="50" xfId="0" applyBorder="1"/>
    <xf numFmtId="0" fontId="0" fillId="0" borderId="52" xfId="0" applyBorder="1"/>
    <xf numFmtId="0" fontId="0" fillId="0" borderId="53" xfId="0" applyBorder="1"/>
    <xf numFmtId="0" fontId="4" fillId="0" borderId="53" xfId="0" applyFont="1" applyBorder="1"/>
    <xf numFmtId="0" fontId="4" fillId="0" borderId="52" xfId="0" applyFont="1" applyBorder="1"/>
    <xf numFmtId="0" fontId="0" fillId="0" borderId="42" xfId="0" applyBorder="1"/>
    <xf numFmtId="0" fontId="6" fillId="0" borderId="43" xfId="0" applyFont="1" applyBorder="1"/>
    <xf numFmtId="0" fontId="4" fillId="0" borderId="42" xfId="0" applyFont="1" applyBorder="1"/>
    <xf numFmtId="0" fontId="4" fillId="0" borderId="15" xfId="0" applyFont="1" applyBorder="1"/>
    <xf numFmtId="0" fontId="2" fillId="2" borderId="50" xfId="3" applyBorder="1"/>
    <xf numFmtId="0" fontId="2" fillId="2" borderId="28" xfId="3" applyBorder="1"/>
    <xf numFmtId="0" fontId="3" fillId="3" borderId="35" xfId="4" applyBorder="1"/>
    <xf numFmtId="0" fontId="5" fillId="0" borderId="5" xfId="0" applyFont="1" applyBorder="1"/>
    <xf numFmtId="0" fontId="0" fillId="0" borderId="14" xfId="0" applyBorder="1"/>
    <xf numFmtId="0" fontId="5" fillId="0" borderId="14" xfId="0" applyFont="1" applyBorder="1"/>
    <xf numFmtId="0" fontId="0" fillId="0" borderId="16" xfId="0" applyBorder="1"/>
    <xf numFmtId="0" fontId="0" fillId="0" borderId="57" xfId="0" applyBorder="1"/>
    <xf numFmtId="0" fontId="0" fillId="0" borderId="17" xfId="0" applyBorder="1"/>
    <xf numFmtId="0" fontId="0" fillId="0" borderId="55" xfId="0" applyBorder="1"/>
    <xf numFmtId="0" fontId="0" fillId="0" borderId="47" xfId="0" applyBorder="1"/>
    <xf numFmtId="0" fontId="0" fillId="0" borderId="59" xfId="0" applyBorder="1"/>
    <xf numFmtId="0" fontId="0" fillId="0" borderId="18" xfId="0" applyBorder="1"/>
    <xf numFmtId="0" fontId="0" fillId="0" borderId="56" xfId="0" applyBorder="1"/>
    <xf numFmtId="0" fontId="0" fillId="0" borderId="60" xfId="0" applyBorder="1"/>
    <xf numFmtId="0" fontId="0" fillId="0" borderId="61" xfId="0" applyBorder="1"/>
    <xf numFmtId="0" fontId="0" fillId="0" borderId="62" xfId="0" applyBorder="1"/>
    <xf numFmtId="0" fontId="0" fillId="6" borderId="8" xfId="0" applyFill="1" applyBorder="1"/>
    <xf numFmtId="0" fontId="0" fillId="6" borderId="10" xfId="0" applyFill="1" applyBorder="1"/>
    <xf numFmtId="0" fontId="0" fillId="7" borderId="19" xfId="0" applyFill="1" applyBorder="1"/>
    <xf numFmtId="0" fontId="0" fillId="7" borderId="8" xfId="0" applyFill="1" applyBorder="1"/>
    <xf numFmtId="0" fontId="0" fillId="7" borderId="10" xfId="0" applyFill="1" applyBorder="1"/>
    <xf numFmtId="0" fontId="0" fillId="7" borderId="57" xfId="0" applyFill="1" applyBorder="1"/>
    <xf numFmtId="0" fontId="0" fillId="7" borderId="4" xfId="0" applyFill="1" applyBorder="1"/>
    <xf numFmtId="0" fontId="0" fillId="7" borderId="33" xfId="0" applyFill="1" applyBorder="1" applyAlignment="1">
      <alignment horizontal="center"/>
    </xf>
    <xf numFmtId="0" fontId="0" fillId="7" borderId="33" xfId="0" applyFont="1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0" borderId="20" xfId="0" applyBorder="1"/>
    <xf numFmtId="0" fontId="5" fillId="0" borderId="27" xfId="0" applyFont="1" applyBorder="1" applyAlignment="1">
      <alignment horizontal="right"/>
    </xf>
    <xf numFmtId="0" fontId="5" fillId="0" borderId="52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6" fillId="0" borderId="3" xfId="0" applyFont="1" applyBorder="1"/>
    <xf numFmtId="0" fontId="4" fillId="0" borderId="58" xfId="0" applyFont="1" applyBorder="1"/>
    <xf numFmtId="0" fontId="2" fillId="2" borderId="42" xfId="3" applyBorder="1"/>
    <xf numFmtId="0" fontId="6" fillId="0" borderId="44" xfId="0" applyFont="1" applyBorder="1"/>
    <xf numFmtId="0" fontId="4" fillId="0" borderId="29" xfId="0" applyFont="1" applyBorder="1"/>
    <xf numFmtId="0" fontId="3" fillId="3" borderId="52" xfId="4" applyBorder="1"/>
    <xf numFmtId="44" fontId="8" fillId="0" borderId="16" xfId="1" applyFont="1" applyBorder="1"/>
    <xf numFmtId="44" fontId="8" fillId="0" borderId="5" xfId="1" applyFont="1" applyBorder="1"/>
    <xf numFmtId="0" fontId="0" fillId="7" borderId="41" xfId="0" applyFill="1" applyBorder="1"/>
    <xf numFmtId="0" fontId="0" fillId="7" borderId="23" xfId="0" applyFill="1" applyBorder="1" applyAlignment="1">
      <alignment horizontal="center"/>
    </xf>
    <xf numFmtId="0" fontId="0" fillId="7" borderId="23" xfId="0" applyFont="1" applyFill="1" applyBorder="1" applyAlignment="1">
      <alignment horizontal="center"/>
    </xf>
    <xf numFmtId="0" fontId="0" fillId="6" borderId="23" xfId="0" applyFill="1" applyBorder="1"/>
    <xf numFmtId="0" fontId="7" fillId="0" borderId="5" xfId="0" applyFont="1" applyBorder="1"/>
    <xf numFmtId="44" fontId="7" fillId="0" borderId="16" xfId="1" applyFont="1" applyBorder="1"/>
    <xf numFmtId="0" fontId="8" fillId="0" borderId="0" xfId="0" applyFont="1"/>
    <xf numFmtId="44" fontId="8" fillId="0" borderId="0" xfId="1" applyFont="1"/>
    <xf numFmtId="0" fontId="0" fillId="6" borderId="5" xfId="0" applyFill="1" applyBorder="1"/>
    <xf numFmtId="0" fontId="0" fillId="0" borderId="0" xfId="0" applyFill="1" applyBorder="1" applyAlignment="1"/>
    <xf numFmtId="0" fontId="0" fillId="0" borderId="0" xfId="0" applyAlignment="1"/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5" borderId="23" xfId="0" applyFill="1" applyBorder="1" applyAlignment="1"/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" xfId="0" applyBorder="1" applyAlignment="1">
      <alignment horizontal="center"/>
    </xf>
    <xf numFmtId="44" fontId="9" fillId="4" borderId="17" xfId="1" applyFont="1" applyFill="1" applyBorder="1" applyAlignment="1">
      <alignment horizontal="center" vertical="center" wrapText="1"/>
    </xf>
    <xf numFmtId="44" fontId="9" fillId="4" borderId="18" xfId="1" applyFont="1" applyFill="1" applyBorder="1" applyAlignment="1">
      <alignment horizontal="center" vertical="center" wrapText="1"/>
    </xf>
    <xf numFmtId="44" fontId="9" fillId="4" borderId="21" xfId="1" applyFont="1" applyFill="1" applyBorder="1" applyAlignment="1">
      <alignment horizontal="center" vertical="center" wrapText="1"/>
    </xf>
    <xf numFmtId="44" fontId="9" fillId="4" borderId="22" xfId="1" applyFont="1" applyFill="1" applyBorder="1" applyAlignment="1">
      <alignment horizontal="center" vertical="center" wrapText="1"/>
    </xf>
    <xf numFmtId="44" fontId="9" fillId="4" borderId="19" xfId="1" applyFont="1" applyFill="1" applyBorder="1" applyAlignment="1">
      <alignment horizontal="center" vertical="center" wrapText="1"/>
    </xf>
    <xf numFmtId="44" fontId="9" fillId="4" borderId="20" xfId="1" applyFont="1" applyFill="1" applyBorder="1" applyAlignment="1">
      <alignment horizontal="center" vertical="center" wrapText="1"/>
    </xf>
  </cellXfs>
  <cellStyles count="5">
    <cellStyle name="Buena" xfId="3" builtinId="26"/>
    <cellStyle name="Incorrecto" xfId="4" builtinId="27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520700</xdr:colOff>
      <xdr:row>26</xdr:row>
      <xdr:rowOff>76200</xdr:rowOff>
    </xdr:from>
    <xdr:to>
      <xdr:col>13</xdr:col>
      <xdr:colOff>266700</xdr:colOff>
      <xdr:row>26</xdr:row>
      <xdr:rowOff>88900</xdr:rowOff>
    </xdr:to>
    <xdr:cxnSp macro="">
      <xdr:nvCxnSpPr>
        <xdr:cNvPr id="3" name="Conector recto de flecha 2"/>
        <xdr:cNvCxnSpPr/>
      </xdr:nvCxnSpPr>
      <xdr:spPr>
        <a:xfrm flipH="1" flipV="1">
          <a:off x="5854700" y="5168900"/>
          <a:ext cx="4508500" cy="127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355600</xdr:colOff>
      <xdr:row>25</xdr:row>
      <xdr:rowOff>63500</xdr:rowOff>
    </xdr:from>
    <xdr:to>
      <xdr:col>7</xdr:col>
      <xdr:colOff>355600</xdr:colOff>
      <xdr:row>26</xdr:row>
      <xdr:rowOff>88900</xdr:rowOff>
    </xdr:to>
    <xdr:cxnSp macro="">
      <xdr:nvCxnSpPr>
        <xdr:cNvPr id="5" name="Conector recto de flecha 4"/>
        <xdr:cNvCxnSpPr/>
      </xdr:nvCxnSpPr>
      <xdr:spPr>
        <a:xfrm flipV="1">
          <a:off x="5689600" y="4953000"/>
          <a:ext cx="0" cy="2286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495300</xdr:colOff>
      <xdr:row>25</xdr:row>
      <xdr:rowOff>63500</xdr:rowOff>
    </xdr:from>
    <xdr:to>
      <xdr:col>9</xdr:col>
      <xdr:colOff>330200</xdr:colOff>
      <xdr:row>25</xdr:row>
      <xdr:rowOff>76200</xdr:rowOff>
    </xdr:to>
    <xdr:cxnSp macro="">
      <xdr:nvCxnSpPr>
        <xdr:cNvPr id="7" name="Conector recto de flecha 6"/>
        <xdr:cNvCxnSpPr/>
      </xdr:nvCxnSpPr>
      <xdr:spPr>
        <a:xfrm flipV="1">
          <a:off x="5829300" y="4953000"/>
          <a:ext cx="1549400" cy="127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292100</xdr:colOff>
      <xdr:row>25</xdr:row>
      <xdr:rowOff>139700</xdr:rowOff>
    </xdr:from>
    <xdr:to>
      <xdr:col>9</xdr:col>
      <xdr:colOff>304800</xdr:colOff>
      <xdr:row>27</xdr:row>
      <xdr:rowOff>88900</xdr:rowOff>
    </xdr:to>
    <xdr:cxnSp macro="">
      <xdr:nvCxnSpPr>
        <xdr:cNvPr id="9" name="Conector recto de flecha 8"/>
        <xdr:cNvCxnSpPr/>
      </xdr:nvCxnSpPr>
      <xdr:spPr>
        <a:xfrm flipH="1">
          <a:off x="7340600" y="5029200"/>
          <a:ext cx="12700" cy="3556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215900</xdr:colOff>
      <xdr:row>27</xdr:row>
      <xdr:rowOff>127000</xdr:rowOff>
    </xdr:from>
    <xdr:to>
      <xdr:col>11</xdr:col>
      <xdr:colOff>330200</xdr:colOff>
      <xdr:row>27</xdr:row>
      <xdr:rowOff>177800</xdr:rowOff>
    </xdr:to>
    <xdr:cxnSp macro="">
      <xdr:nvCxnSpPr>
        <xdr:cNvPr id="11" name="Conector recto de flecha 10"/>
        <xdr:cNvCxnSpPr/>
      </xdr:nvCxnSpPr>
      <xdr:spPr>
        <a:xfrm flipV="1">
          <a:off x="7264400" y="5422900"/>
          <a:ext cx="1638300" cy="508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381000</xdr:colOff>
      <xdr:row>27</xdr:row>
      <xdr:rowOff>127000</xdr:rowOff>
    </xdr:from>
    <xdr:to>
      <xdr:col>11</xdr:col>
      <xdr:colOff>381000</xdr:colOff>
      <xdr:row>29</xdr:row>
      <xdr:rowOff>114300</xdr:rowOff>
    </xdr:to>
    <xdr:cxnSp macro="">
      <xdr:nvCxnSpPr>
        <xdr:cNvPr id="14" name="Conector recto de flecha 13"/>
        <xdr:cNvCxnSpPr/>
      </xdr:nvCxnSpPr>
      <xdr:spPr>
        <a:xfrm>
          <a:off x="8953500" y="5422900"/>
          <a:ext cx="0" cy="3937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406400</xdr:colOff>
      <xdr:row>29</xdr:row>
      <xdr:rowOff>63500</xdr:rowOff>
    </xdr:from>
    <xdr:to>
      <xdr:col>11</xdr:col>
      <xdr:colOff>241300</xdr:colOff>
      <xdr:row>29</xdr:row>
      <xdr:rowOff>101600</xdr:rowOff>
    </xdr:to>
    <xdr:cxnSp macro="">
      <xdr:nvCxnSpPr>
        <xdr:cNvPr id="16" name="Conector recto de flecha 15"/>
        <xdr:cNvCxnSpPr/>
      </xdr:nvCxnSpPr>
      <xdr:spPr>
        <a:xfrm flipH="1" flipV="1">
          <a:off x="4216400" y="5765800"/>
          <a:ext cx="4597400" cy="381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279400</xdr:colOff>
      <xdr:row>24</xdr:row>
      <xdr:rowOff>88900</xdr:rowOff>
    </xdr:from>
    <xdr:to>
      <xdr:col>5</xdr:col>
      <xdr:colOff>292100</xdr:colOff>
      <xdr:row>29</xdr:row>
      <xdr:rowOff>88900</xdr:rowOff>
    </xdr:to>
    <xdr:cxnSp macro="">
      <xdr:nvCxnSpPr>
        <xdr:cNvPr id="18" name="Conector recto de flecha 17"/>
        <xdr:cNvCxnSpPr/>
      </xdr:nvCxnSpPr>
      <xdr:spPr>
        <a:xfrm flipV="1">
          <a:off x="4089400" y="4775200"/>
          <a:ext cx="12700" cy="10160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381000</xdr:colOff>
      <xdr:row>24</xdr:row>
      <xdr:rowOff>63500</xdr:rowOff>
    </xdr:from>
    <xdr:to>
      <xdr:col>13</xdr:col>
      <xdr:colOff>215900</xdr:colOff>
      <xdr:row>24</xdr:row>
      <xdr:rowOff>88900</xdr:rowOff>
    </xdr:to>
    <xdr:cxnSp macro="">
      <xdr:nvCxnSpPr>
        <xdr:cNvPr id="20" name="Conector recto de flecha 19"/>
        <xdr:cNvCxnSpPr/>
      </xdr:nvCxnSpPr>
      <xdr:spPr>
        <a:xfrm>
          <a:off x="4191000" y="4749800"/>
          <a:ext cx="6121400" cy="254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368300</xdr:colOff>
      <xdr:row>24</xdr:row>
      <xdr:rowOff>88900</xdr:rowOff>
    </xdr:from>
    <xdr:to>
      <xdr:col>13</xdr:col>
      <xdr:colOff>368300</xdr:colOff>
      <xdr:row>26</xdr:row>
      <xdr:rowOff>165100</xdr:rowOff>
    </xdr:to>
    <xdr:cxnSp macro="">
      <xdr:nvCxnSpPr>
        <xdr:cNvPr id="22" name="Conector recto de flecha 21"/>
        <xdr:cNvCxnSpPr/>
      </xdr:nvCxnSpPr>
      <xdr:spPr>
        <a:xfrm>
          <a:off x="10464800" y="4775200"/>
          <a:ext cx="0" cy="4826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22</xdr:row>
      <xdr:rowOff>114300</xdr:rowOff>
    </xdr:from>
    <xdr:to>
      <xdr:col>1</xdr:col>
      <xdr:colOff>292100</xdr:colOff>
      <xdr:row>31</xdr:row>
      <xdr:rowOff>139700</xdr:rowOff>
    </xdr:to>
    <xdr:cxnSp macro="">
      <xdr:nvCxnSpPr>
        <xdr:cNvPr id="13" name="Conector recto de flecha 12"/>
        <xdr:cNvCxnSpPr/>
      </xdr:nvCxnSpPr>
      <xdr:spPr>
        <a:xfrm>
          <a:off x="1028700" y="4368800"/>
          <a:ext cx="25400" cy="185420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431800</xdr:colOff>
      <xdr:row>31</xdr:row>
      <xdr:rowOff>139700</xdr:rowOff>
    </xdr:from>
    <xdr:to>
      <xdr:col>11</xdr:col>
      <xdr:colOff>177800</xdr:colOff>
      <xdr:row>31</xdr:row>
      <xdr:rowOff>165100</xdr:rowOff>
    </xdr:to>
    <xdr:cxnSp macro="">
      <xdr:nvCxnSpPr>
        <xdr:cNvPr id="15" name="Conector recto de flecha 14"/>
        <xdr:cNvCxnSpPr/>
      </xdr:nvCxnSpPr>
      <xdr:spPr>
        <a:xfrm flipV="1">
          <a:off x="1193800" y="6223000"/>
          <a:ext cx="7556500" cy="2540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330200</xdr:colOff>
      <xdr:row>29</xdr:row>
      <xdr:rowOff>139700</xdr:rowOff>
    </xdr:from>
    <xdr:to>
      <xdr:col>11</xdr:col>
      <xdr:colOff>342900</xdr:colOff>
      <xdr:row>31</xdr:row>
      <xdr:rowOff>139700</xdr:rowOff>
    </xdr:to>
    <xdr:cxnSp macro="">
      <xdr:nvCxnSpPr>
        <xdr:cNvPr id="17" name="Conector recto de flecha 16"/>
        <xdr:cNvCxnSpPr/>
      </xdr:nvCxnSpPr>
      <xdr:spPr>
        <a:xfrm flipH="1" flipV="1">
          <a:off x="8902700" y="5816600"/>
          <a:ext cx="12700" cy="40640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177800</xdr:colOff>
      <xdr:row>29</xdr:row>
      <xdr:rowOff>63500</xdr:rowOff>
    </xdr:from>
    <xdr:to>
      <xdr:col>11</xdr:col>
      <xdr:colOff>228600</xdr:colOff>
      <xdr:row>29</xdr:row>
      <xdr:rowOff>76200</xdr:rowOff>
    </xdr:to>
    <xdr:cxnSp macro="">
      <xdr:nvCxnSpPr>
        <xdr:cNvPr id="19" name="Conector recto de flecha 18"/>
        <xdr:cNvCxnSpPr/>
      </xdr:nvCxnSpPr>
      <xdr:spPr>
        <a:xfrm flipH="1" flipV="1">
          <a:off x="7226300" y="5740400"/>
          <a:ext cx="1574800" cy="1270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88900</xdr:colOff>
      <xdr:row>27</xdr:row>
      <xdr:rowOff>76200</xdr:rowOff>
    </xdr:from>
    <xdr:to>
      <xdr:col>9</xdr:col>
      <xdr:colOff>101600</xdr:colOff>
      <xdr:row>29</xdr:row>
      <xdr:rowOff>76200</xdr:rowOff>
    </xdr:to>
    <xdr:cxnSp macro="">
      <xdr:nvCxnSpPr>
        <xdr:cNvPr id="21" name="Conector recto de flecha 20"/>
        <xdr:cNvCxnSpPr/>
      </xdr:nvCxnSpPr>
      <xdr:spPr>
        <a:xfrm flipH="1" flipV="1">
          <a:off x="7137400" y="5346700"/>
          <a:ext cx="12700" cy="406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444500</xdr:colOff>
      <xdr:row>27</xdr:row>
      <xdr:rowOff>50800</xdr:rowOff>
    </xdr:from>
    <xdr:to>
      <xdr:col>9</xdr:col>
      <xdr:colOff>228600</xdr:colOff>
      <xdr:row>27</xdr:row>
      <xdr:rowOff>63500</xdr:rowOff>
    </xdr:to>
    <xdr:cxnSp macro="">
      <xdr:nvCxnSpPr>
        <xdr:cNvPr id="24" name="Conector recto de flecha 23"/>
        <xdr:cNvCxnSpPr/>
      </xdr:nvCxnSpPr>
      <xdr:spPr>
        <a:xfrm flipH="1">
          <a:off x="5778500" y="5321300"/>
          <a:ext cx="1498600" cy="1270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241300</xdr:colOff>
      <xdr:row>27</xdr:row>
      <xdr:rowOff>38100</xdr:rowOff>
    </xdr:from>
    <xdr:to>
      <xdr:col>7</xdr:col>
      <xdr:colOff>254000</xdr:colOff>
      <xdr:row>28</xdr:row>
      <xdr:rowOff>114300</xdr:rowOff>
    </xdr:to>
    <xdr:cxnSp macro="">
      <xdr:nvCxnSpPr>
        <xdr:cNvPr id="26" name="Conector recto de flecha 25"/>
        <xdr:cNvCxnSpPr/>
      </xdr:nvCxnSpPr>
      <xdr:spPr>
        <a:xfrm>
          <a:off x="5575300" y="5308600"/>
          <a:ext cx="12700" cy="27940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444500</xdr:colOff>
      <xdr:row>28</xdr:row>
      <xdr:rowOff>114300</xdr:rowOff>
    </xdr:from>
    <xdr:to>
      <xdr:col>13</xdr:col>
      <xdr:colOff>330200</xdr:colOff>
      <xdr:row>28</xdr:row>
      <xdr:rowOff>139700</xdr:rowOff>
    </xdr:to>
    <xdr:cxnSp macro="">
      <xdr:nvCxnSpPr>
        <xdr:cNvPr id="28" name="Conector recto de flecha 27"/>
        <xdr:cNvCxnSpPr/>
      </xdr:nvCxnSpPr>
      <xdr:spPr>
        <a:xfrm>
          <a:off x="5778500" y="5588000"/>
          <a:ext cx="4648200" cy="2540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431800</xdr:colOff>
      <xdr:row>22</xdr:row>
      <xdr:rowOff>139700</xdr:rowOff>
    </xdr:from>
    <xdr:to>
      <xdr:col>13</xdr:col>
      <xdr:colOff>469900</xdr:colOff>
      <xdr:row>28</xdr:row>
      <xdr:rowOff>139700</xdr:rowOff>
    </xdr:to>
    <xdr:cxnSp macro="">
      <xdr:nvCxnSpPr>
        <xdr:cNvPr id="30" name="Conector recto de flecha 29"/>
        <xdr:cNvCxnSpPr/>
      </xdr:nvCxnSpPr>
      <xdr:spPr>
        <a:xfrm flipH="1" flipV="1">
          <a:off x="10528300" y="4394200"/>
          <a:ext cx="38100" cy="121920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292100</xdr:colOff>
      <xdr:row>22</xdr:row>
      <xdr:rowOff>50800</xdr:rowOff>
    </xdr:from>
    <xdr:to>
      <xdr:col>13</xdr:col>
      <xdr:colOff>304800</xdr:colOff>
      <xdr:row>22</xdr:row>
      <xdr:rowOff>63500</xdr:rowOff>
    </xdr:to>
    <xdr:cxnSp macro="">
      <xdr:nvCxnSpPr>
        <xdr:cNvPr id="32" name="Conector recto de flecha 31"/>
        <xdr:cNvCxnSpPr/>
      </xdr:nvCxnSpPr>
      <xdr:spPr>
        <a:xfrm flipH="1" flipV="1">
          <a:off x="1054100" y="4305300"/>
          <a:ext cx="9347200" cy="1270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304800</xdr:colOff>
      <xdr:row>30</xdr:row>
      <xdr:rowOff>127000</xdr:rowOff>
    </xdr:from>
    <xdr:to>
      <xdr:col>13</xdr:col>
      <xdr:colOff>228600</xdr:colOff>
      <xdr:row>30</xdr:row>
      <xdr:rowOff>152400</xdr:rowOff>
    </xdr:to>
    <xdr:cxnSp macro="">
      <xdr:nvCxnSpPr>
        <xdr:cNvPr id="13" name="Conector recto de flecha 12"/>
        <xdr:cNvCxnSpPr/>
      </xdr:nvCxnSpPr>
      <xdr:spPr>
        <a:xfrm flipH="1">
          <a:off x="7353300" y="6007100"/>
          <a:ext cx="2971800" cy="254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266700</xdr:colOff>
      <xdr:row>29</xdr:row>
      <xdr:rowOff>88900</xdr:rowOff>
    </xdr:from>
    <xdr:to>
      <xdr:col>9</xdr:col>
      <xdr:colOff>279400</xdr:colOff>
      <xdr:row>30</xdr:row>
      <xdr:rowOff>63500</xdr:rowOff>
    </xdr:to>
    <xdr:cxnSp macro="">
      <xdr:nvCxnSpPr>
        <xdr:cNvPr id="15" name="Conector recto de flecha 14"/>
        <xdr:cNvCxnSpPr/>
      </xdr:nvCxnSpPr>
      <xdr:spPr>
        <a:xfrm flipH="1" flipV="1">
          <a:off x="7315200" y="5765800"/>
          <a:ext cx="12700" cy="1778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419100</xdr:colOff>
      <xdr:row>29</xdr:row>
      <xdr:rowOff>50800</xdr:rowOff>
    </xdr:from>
    <xdr:to>
      <xdr:col>11</xdr:col>
      <xdr:colOff>355600</xdr:colOff>
      <xdr:row>29</xdr:row>
      <xdr:rowOff>63500</xdr:rowOff>
    </xdr:to>
    <xdr:cxnSp macro="">
      <xdr:nvCxnSpPr>
        <xdr:cNvPr id="17" name="Conector recto de flecha 16"/>
        <xdr:cNvCxnSpPr/>
      </xdr:nvCxnSpPr>
      <xdr:spPr>
        <a:xfrm>
          <a:off x="7467600" y="5727700"/>
          <a:ext cx="1460500" cy="127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355600</xdr:colOff>
      <xdr:row>29</xdr:row>
      <xdr:rowOff>127000</xdr:rowOff>
    </xdr:from>
    <xdr:to>
      <xdr:col>11</xdr:col>
      <xdr:colOff>368300</xdr:colOff>
      <xdr:row>31</xdr:row>
      <xdr:rowOff>139700</xdr:rowOff>
    </xdr:to>
    <xdr:cxnSp macro="">
      <xdr:nvCxnSpPr>
        <xdr:cNvPr id="19" name="Conector recto de flecha 18"/>
        <xdr:cNvCxnSpPr/>
      </xdr:nvCxnSpPr>
      <xdr:spPr>
        <a:xfrm>
          <a:off x="8928100" y="5803900"/>
          <a:ext cx="12700" cy="4191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685800</xdr:colOff>
      <xdr:row>31</xdr:row>
      <xdr:rowOff>101600</xdr:rowOff>
    </xdr:from>
    <xdr:to>
      <xdr:col>11</xdr:col>
      <xdr:colOff>88900</xdr:colOff>
      <xdr:row>31</xdr:row>
      <xdr:rowOff>127000</xdr:rowOff>
    </xdr:to>
    <xdr:cxnSp macro="">
      <xdr:nvCxnSpPr>
        <xdr:cNvPr id="21" name="Conector recto de flecha 20"/>
        <xdr:cNvCxnSpPr/>
      </xdr:nvCxnSpPr>
      <xdr:spPr>
        <a:xfrm flipH="1" flipV="1">
          <a:off x="1447800" y="6184900"/>
          <a:ext cx="7213600" cy="254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266700</xdr:colOff>
      <xdr:row>22</xdr:row>
      <xdr:rowOff>127000</xdr:rowOff>
    </xdr:from>
    <xdr:to>
      <xdr:col>1</xdr:col>
      <xdr:colOff>279400</xdr:colOff>
      <xdr:row>31</xdr:row>
      <xdr:rowOff>139700</xdr:rowOff>
    </xdr:to>
    <xdr:cxnSp macro="">
      <xdr:nvCxnSpPr>
        <xdr:cNvPr id="25" name="Conector recto de flecha 24"/>
        <xdr:cNvCxnSpPr/>
      </xdr:nvCxnSpPr>
      <xdr:spPr>
        <a:xfrm flipH="1" flipV="1">
          <a:off x="1028700" y="4381500"/>
          <a:ext cx="12700" cy="18415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279400</xdr:colOff>
      <xdr:row>22</xdr:row>
      <xdr:rowOff>12700</xdr:rowOff>
    </xdr:from>
    <xdr:to>
      <xdr:col>13</xdr:col>
      <xdr:colOff>254000</xdr:colOff>
      <xdr:row>22</xdr:row>
      <xdr:rowOff>38100</xdr:rowOff>
    </xdr:to>
    <xdr:cxnSp macro="">
      <xdr:nvCxnSpPr>
        <xdr:cNvPr id="27" name="Conector recto de flecha 26"/>
        <xdr:cNvCxnSpPr/>
      </xdr:nvCxnSpPr>
      <xdr:spPr>
        <a:xfrm>
          <a:off x="1041400" y="4267200"/>
          <a:ext cx="9309100" cy="254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368300</xdr:colOff>
      <xdr:row>22</xdr:row>
      <xdr:rowOff>50800</xdr:rowOff>
    </xdr:from>
    <xdr:to>
      <xdr:col>13</xdr:col>
      <xdr:colOff>406400</xdr:colOff>
      <xdr:row>30</xdr:row>
      <xdr:rowOff>139700</xdr:rowOff>
    </xdr:to>
    <xdr:cxnSp macro="">
      <xdr:nvCxnSpPr>
        <xdr:cNvPr id="29" name="Conector recto de flecha 28"/>
        <xdr:cNvCxnSpPr/>
      </xdr:nvCxnSpPr>
      <xdr:spPr>
        <a:xfrm flipH="1">
          <a:off x="10464800" y="4305300"/>
          <a:ext cx="38100" cy="17145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24</xdr:row>
      <xdr:rowOff>127000</xdr:rowOff>
    </xdr:from>
    <xdr:to>
      <xdr:col>3</xdr:col>
      <xdr:colOff>266700</xdr:colOff>
      <xdr:row>31</xdr:row>
      <xdr:rowOff>127000</xdr:rowOff>
    </xdr:to>
    <xdr:cxnSp macro="">
      <xdr:nvCxnSpPr>
        <xdr:cNvPr id="11" name="Conector recto de flecha 10"/>
        <xdr:cNvCxnSpPr/>
      </xdr:nvCxnSpPr>
      <xdr:spPr>
        <a:xfrm>
          <a:off x="2552700" y="4787900"/>
          <a:ext cx="0" cy="142240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368300</xdr:colOff>
      <xdr:row>24</xdr:row>
      <xdr:rowOff>38100</xdr:rowOff>
    </xdr:from>
    <xdr:to>
      <xdr:col>13</xdr:col>
      <xdr:colOff>419100</xdr:colOff>
      <xdr:row>24</xdr:row>
      <xdr:rowOff>50800</xdr:rowOff>
    </xdr:to>
    <xdr:cxnSp macro="">
      <xdr:nvCxnSpPr>
        <xdr:cNvPr id="13" name="Conector recto de flecha 12"/>
        <xdr:cNvCxnSpPr/>
      </xdr:nvCxnSpPr>
      <xdr:spPr>
        <a:xfrm flipH="1" flipV="1">
          <a:off x="2654300" y="4699000"/>
          <a:ext cx="7861300" cy="1270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355600</xdr:colOff>
      <xdr:row>31</xdr:row>
      <xdr:rowOff>114300</xdr:rowOff>
    </xdr:from>
    <xdr:to>
      <xdr:col>11</xdr:col>
      <xdr:colOff>203200</xdr:colOff>
      <xdr:row>31</xdr:row>
      <xdr:rowOff>165100</xdr:rowOff>
    </xdr:to>
    <xdr:cxnSp macro="">
      <xdr:nvCxnSpPr>
        <xdr:cNvPr id="15" name="Conector recto de flecha 14"/>
        <xdr:cNvCxnSpPr/>
      </xdr:nvCxnSpPr>
      <xdr:spPr>
        <a:xfrm flipV="1">
          <a:off x="2641600" y="6197600"/>
          <a:ext cx="6134100" cy="5080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355600</xdr:colOff>
      <xdr:row>29</xdr:row>
      <xdr:rowOff>101600</xdr:rowOff>
    </xdr:from>
    <xdr:to>
      <xdr:col>11</xdr:col>
      <xdr:colOff>355600</xdr:colOff>
      <xdr:row>31</xdr:row>
      <xdr:rowOff>101600</xdr:rowOff>
    </xdr:to>
    <xdr:cxnSp macro="">
      <xdr:nvCxnSpPr>
        <xdr:cNvPr id="17" name="Conector recto de flecha 16"/>
        <xdr:cNvCxnSpPr/>
      </xdr:nvCxnSpPr>
      <xdr:spPr>
        <a:xfrm flipV="1">
          <a:off x="8928100" y="5778500"/>
          <a:ext cx="0" cy="40640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254000</xdr:colOff>
      <xdr:row>29</xdr:row>
      <xdr:rowOff>63500</xdr:rowOff>
    </xdr:from>
    <xdr:to>
      <xdr:col>11</xdr:col>
      <xdr:colOff>266700</xdr:colOff>
      <xdr:row>29</xdr:row>
      <xdr:rowOff>63500</xdr:rowOff>
    </xdr:to>
    <xdr:cxnSp macro="">
      <xdr:nvCxnSpPr>
        <xdr:cNvPr id="19" name="Conector recto de flecha 18"/>
        <xdr:cNvCxnSpPr/>
      </xdr:nvCxnSpPr>
      <xdr:spPr>
        <a:xfrm flipH="1">
          <a:off x="7302500" y="5740400"/>
          <a:ext cx="1536700" cy="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165100</xdr:colOff>
      <xdr:row>29</xdr:row>
      <xdr:rowOff>63500</xdr:rowOff>
    </xdr:from>
    <xdr:to>
      <xdr:col>9</xdr:col>
      <xdr:colOff>165100</xdr:colOff>
      <xdr:row>30</xdr:row>
      <xdr:rowOff>139700</xdr:rowOff>
    </xdr:to>
    <xdr:cxnSp macro="">
      <xdr:nvCxnSpPr>
        <xdr:cNvPr id="21" name="Conector recto de flecha 20"/>
        <xdr:cNvCxnSpPr/>
      </xdr:nvCxnSpPr>
      <xdr:spPr>
        <a:xfrm>
          <a:off x="7213600" y="5740400"/>
          <a:ext cx="0" cy="27940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330200</xdr:colOff>
      <xdr:row>30</xdr:row>
      <xdr:rowOff>114300</xdr:rowOff>
    </xdr:from>
    <xdr:to>
      <xdr:col>13</xdr:col>
      <xdr:colOff>254000</xdr:colOff>
      <xdr:row>30</xdr:row>
      <xdr:rowOff>127000</xdr:rowOff>
    </xdr:to>
    <xdr:cxnSp macro="">
      <xdr:nvCxnSpPr>
        <xdr:cNvPr id="23" name="Conector recto de flecha 22"/>
        <xdr:cNvCxnSpPr/>
      </xdr:nvCxnSpPr>
      <xdr:spPr>
        <a:xfrm flipV="1">
          <a:off x="7378700" y="5994400"/>
          <a:ext cx="2971800" cy="1270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431800</xdr:colOff>
      <xdr:row>24</xdr:row>
      <xdr:rowOff>101600</xdr:rowOff>
    </xdr:from>
    <xdr:to>
      <xdr:col>13</xdr:col>
      <xdr:colOff>431800</xdr:colOff>
      <xdr:row>30</xdr:row>
      <xdr:rowOff>88900</xdr:rowOff>
    </xdr:to>
    <xdr:cxnSp macro="">
      <xdr:nvCxnSpPr>
        <xdr:cNvPr id="25" name="Conector recto de flecha 24"/>
        <xdr:cNvCxnSpPr/>
      </xdr:nvCxnSpPr>
      <xdr:spPr>
        <a:xfrm flipV="1">
          <a:off x="10528300" y="4762500"/>
          <a:ext cx="0" cy="120650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406400</xdr:colOff>
      <xdr:row>32</xdr:row>
      <xdr:rowOff>127000</xdr:rowOff>
    </xdr:from>
    <xdr:to>
      <xdr:col>13</xdr:col>
      <xdr:colOff>444500</xdr:colOff>
      <xdr:row>32</xdr:row>
      <xdr:rowOff>127000</xdr:rowOff>
    </xdr:to>
    <xdr:cxnSp macro="">
      <xdr:nvCxnSpPr>
        <xdr:cNvPr id="11" name="Conector recto de flecha 10"/>
        <xdr:cNvCxnSpPr/>
      </xdr:nvCxnSpPr>
      <xdr:spPr>
        <a:xfrm flipH="1">
          <a:off x="8978900" y="6413500"/>
          <a:ext cx="1562100" cy="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254000</xdr:colOff>
      <xdr:row>31</xdr:row>
      <xdr:rowOff>88900</xdr:rowOff>
    </xdr:from>
    <xdr:to>
      <xdr:col>11</xdr:col>
      <xdr:colOff>266700</xdr:colOff>
      <xdr:row>32</xdr:row>
      <xdr:rowOff>139700</xdr:rowOff>
    </xdr:to>
    <xdr:cxnSp macro="">
      <xdr:nvCxnSpPr>
        <xdr:cNvPr id="13" name="Conector recto de flecha 12"/>
        <xdr:cNvCxnSpPr/>
      </xdr:nvCxnSpPr>
      <xdr:spPr>
        <a:xfrm flipV="1">
          <a:off x="8826500" y="6172200"/>
          <a:ext cx="12700" cy="2540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355600</xdr:colOff>
      <xdr:row>31</xdr:row>
      <xdr:rowOff>76200</xdr:rowOff>
    </xdr:from>
    <xdr:to>
      <xdr:col>11</xdr:col>
      <xdr:colOff>127000</xdr:colOff>
      <xdr:row>31</xdr:row>
      <xdr:rowOff>88900</xdr:rowOff>
    </xdr:to>
    <xdr:cxnSp macro="">
      <xdr:nvCxnSpPr>
        <xdr:cNvPr id="15" name="Conector recto de flecha 14"/>
        <xdr:cNvCxnSpPr/>
      </xdr:nvCxnSpPr>
      <xdr:spPr>
        <a:xfrm flipH="1" flipV="1">
          <a:off x="2641600" y="6159500"/>
          <a:ext cx="6057900" cy="127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241300</xdr:colOff>
      <xdr:row>24</xdr:row>
      <xdr:rowOff>127000</xdr:rowOff>
    </xdr:from>
    <xdr:to>
      <xdr:col>3</xdr:col>
      <xdr:colOff>254000</xdr:colOff>
      <xdr:row>31</xdr:row>
      <xdr:rowOff>114300</xdr:rowOff>
    </xdr:to>
    <xdr:cxnSp macro="">
      <xdr:nvCxnSpPr>
        <xdr:cNvPr id="17" name="Conector recto de flecha 16"/>
        <xdr:cNvCxnSpPr/>
      </xdr:nvCxnSpPr>
      <xdr:spPr>
        <a:xfrm flipV="1">
          <a:off x="2527300" y="4787900"/>
          <a:ext cx="12700" cy="14097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355600</xdr:colOff>
      <xdr:row>24</xdr:row>
      <xdr:rowOff>63500</xdr:rowOff>
    </xdr:from>
    <xdr:to>
      <xdr:col>13</xdr:col>
      <xdr:colOff>330200</xdr:colOff>
      <xdr:row>24</xdr:row>
      <xdr:rowOff>76200</xdr:rowOff>
    </xdr:to>
    <xdr:cxnSp macro="">
      <xdr:nvCxnSpPr>
        <xdr:cNvPr id="19" name="Conector recto de flecha 18"/>
        <xdr:cNvCxnSpPr/>
      </xdr:nvCxnSpPr>
      <xdr:spPr>
        <a:xfrm>
          <a:off x="2641600" y="4724400"/>
          <a:ext cx="7785100" cy="127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355600</xdr:colOff>
      <xdr:row>24</xdr:row>
      <xdr:rowOff>165100</xdr:rowOff>
    </xdr:from>
    <xdr:to>
      <xdr:col>13</xdr:col>
      <xdr:colOff>393700</xdr:colOff>
      <xdr:row>32</xdr:row>
      <xdr:rowOff>101600</xdr:rowOff>
    </xdr:to>
    <xdr:cxnSp macro="">
      <xdr:nvCxnSpPr>
        <xdr:cNvPr id="21" name="Conector recto de flecha 20"/>
        <xdr:cNvCxnSpPr/>
      </xdr:nvCxnSpPr>
      <xdr:spPr>
        <a:xfrm>
          <a:off x="10452100" y="4826000"/>
          <a:ext cx="38100" cy="15621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254000</xdr:colOff>
      <xdr:row>21</xdr:row>
      <xdr:rowOff>38100</xdr:rowOff>
    </xdr:from>
    <xdr:to>
      <xdr:col>3</xdr:col>
      <xdr:colOff>266700</xdr:colOff>
      <xdr:row>31</xdr:row>
      <xdr:rowOff>127000</xdr:rowOff>
    </xdr:to>
    <xdr:cxnSp macro="">
      <xdr:nvCxnSpPr>
        <xdr:cNvPr id="9" name="Conector recto de flecha 8"/>
        <xdr:cNvCxnSpPr/>
      </xdr:nvCxnSpPr>
      <xdr:spPr>
        <a:xfrm flipH="1">
          <a:off x="2540000" y="4089400"/>
          <a:ext cx="12700" cy="21209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381000</xdr:colOff>
      <xdr:row>31</xdr:row>
      <xdr:rowOff>101600</xdr:rowOff>
    </xdr:from>
    <xdr:to>
      <xdr:col>11</xdr:col>
      <xdr:colOff>317500</xdr:colOff>
      <xdr:row>31</xdr:row>
      <xdr:rowOff>139700</xdr:rowOff>
    </xdr:to>
    <xdr:cxnSp macro="">
      <xdr:nvCxnSpPr>
        <xdr:cNvPr id="11" name="Conector recto de flecha 10"/>
        <xdr:cNvCxnSpPr/>
      </xdr:nvCxnSpPr>
      <xdr:spPr>
        <a:xfrm flipV="1">
          <a:off x="2667000" y="6184900"/>
          <a:ext cx="6223000" cy="381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330200</xdr:colOff>
      <xdr:row>31</xdr:row>
      <xdr:rowOff>76200</xdr:rowOff>
    </xdr:from>
    <xdr:to>
      <xdr:col>11</xdr:col>
      <xdr:colOff>342900</xdr:colOff>
      <xdr:row>32</xdr:row>
      <xdr:rowOff>152400</xdr:rowOff>
    </xdr:to>
    <xdr:cxnSp macro="">
      <xdr:nvCxnSpPr>
        <xdr:cNvPr id="13" name="Conector recto de flecha 12"/>
        <xdr:cNvCxnSpPr/>
      </xdr:nvCxnSpPr>
      <xdr:spPr>
        <a:xfrm>
          <a:off x="8902700" y="6159500"/>
          <a:ext cx="12700" cy="2794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469900</xdr:colOff>
      <xdr:row>32</xdr:row>
      <xdr:rowOff>139700</xdr:rowOff>
    </xdr:from>
    <xdr:to>
      <xdr:col>13</xdr:col>
      <xdr:colOff>419100</xdr:colOff>
      <xdr:row>32</xdr:row>
      <xdr:rowOff>152400</xdr:rowOff>
    </xdr:to>
    <xdr:cxnSp macro="">
      <xdr:nvCxnSpPr>
        <xdr:cNvPr id="16" name="Conector recto de flecha 15"/>
        <xdr:cNvCxnSpPr/>
      </xdr:nvCxnSpPr>
      <xdr:spPr>
        <a:xfrm flipV="1">
          <a:off x="9042400" y="6426200"/>
          <a:ext cx="1473200" cy="127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342900</xdr:colOff>
      <xdr:row>22</xdr:row>
      <xdr:rowOff>88900</xdr:rowOff>
    </xdr:from>
    <xdr:to>
      <xdr:col>13</xdr:col>
      <xdr:colOff>342900</xdr:colOff>
      <xdr:row>32</xdr:row>
      <xdr:rowOff>63500</xdr:rowOff>
    </xdr:to>
    <xdr:cxnSp macro="">
      <xdr:nvCxnSpPr>
        <xdr:cNvPr id="18" name="Conector recto de flecha 17"/>
        <xdr:cNvCxnSpPr/>
      </xdr:nvCxnSpPr>
      <xdr:spPr>
        <a:xfrm flipV="1">
          <a:off x="10439400" y="4343400"/>
          <a:ext cx="0" cy="20066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368300</xdr:colOff>
      <xdr:row>22</xdr:row>
      <xdr:rowOff>25400</xdr:rowOff>
    </xdr:from>
    <xdr:to>
      <xdr:col>13</xdr:col>
      <xdr:colOff>241300</xdr:colOff>
      <xdr:row>22</xdr:row>
      <xdr:rowOff>50800</xdr:rowOff>
    </xdr:to>
    <xdr:cxnSp macro="">
      <xdr:nvCxnSpPr>
        <xdr:cNvPr id="20" name="Conector recto de flecha 19"/>
        <xdr:cNvCxnSpPr/>
      </xdr:nvCxnSpPr>
      <xdr:spPr>
        <a:xfrm flipH="1">
          <a:off x="1130300" y="4279900"/>
          <a:ext cx="9207500" cy="254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203200</xdr:colOff>
      <xdr:row>21</xdr:row>
      <xdr:rowOff>50800</xdr:rowOff>
    </xdr:from>
    <xdr:to>
      <xdr:col>1</xdr:col>
      <xdr:colOff>215900</xdr:colOff>
      <xdr:row>22</xdr:row>
      <xdr:rowOff>76200</xdr:rowOff>
    </xdr:to>
    <xdr:cxnSp macro="">
      <xdr:nvCxnSpPr>
        <xdr:cNvPr id="22" name="Conector recto de flecha 21"/>
        <xdr:cNvCxnSpPr/>
      </xdr:nvCxnSpPr>
      <xdr:spPr>
        <a:xfrm flipV="1">
          <a:off x="965200" y="4102100"/>
          <a:ext cx="12700" cy="2286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368300</xdr:colOff>
      <xdr:row>21</xdr:row>
      <xdr:rowOff>38100</xdr:rowOff>
    </xdr:from>
    <xdr:to>
      <xdr:col>3</xdr:col>
      <xdr:colOff>190500</xdr:colOff>
      <xdr:row>21</xdr:row>
      <xdr:rowOff>63500</xdr:rowOff>
    </xdr:to>
    <xdr:cxnSp macro="">
      <xdr:nvCxnSpPr>
        <xdr:cNvPr id="24" name="Conector recto de flecha 23"/>
        <xdr:cNvCxnSpPr/>
      </xdr:nvCxnSpPr>
      <xdr:spPr>
        <a:xfrm>
          <a:off x="1130300" y="4089400"/>
          <a:ext cx="1346200" cy="254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165100</xdr:colOff>
      <xdr:row>26</xdr:row>
      <xdr:rowOff>114300</xdr:rowOff>
    </xdr:from>
    <xdr:to>
      <xdr:col>3</xdr:col>
      <xdr:colOff>177800</xdr:colOff>
      <xdr:row>31</xdr:row>
      <xdr:rowOff>101600</xdr:rowOff>
    </xdr:to>
    <xdr:cxnSp macro="">
      <xdr:nvCxnSpPr>
        <xdr:cNvPr id="11" name="Conector recto de flecha 10"/>
        <xdr:cNvCxnSpPr/>
      </xdr:nvCxnSpPr>
      <xdr:spPr>
        <a:xfrm>
          <a:off x="2451100" y="5181600"/>
          <a:ext cx="12700" cy="10033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330200</xdr:colOff>
      <xdr:row>31</xdr:row>
      <xdr:rowOff>127000</xdr:rowOff>
    </xdr:from>
    <xdr:to>
      <xdr:col>11</xdr:col>
      <xdr:colOff>241300</xdr:colOff>
      <xdr:row>31</xdr:row>
      <xdr:rowOff>165100</xdr:rowOff>
    </xdr:to>
    <xdr:cxnSp macro="">
      <xdr:nvCxnSpPr>
        <xdr:cNvPr id="13" name="Conector recto de flecha 12"/>
        <xdr:cNvCxnSpPr/>
      </xdr:nvCxnSpPr>
      <xdr:spPr>
        <a:xfrm flipV="1">
          <a:off x="2616200" y="6210300"/>
          <a:ext cx="6197600" cy="381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393700</xdr:colOff>
      <xdr:row>31</xdr:row>
      <xdr:rowOff>101600</xdr:rowOff>
    </xdr:from>
    <xdr:to>
      <xdr:col>11</xdr:col>
      <xdr:colOff>393700</xdr:colOff>
      <xdr:row>32</xdr:row>
      <xdr:rowOff>139700</xdr:rowOff>
    </xdr:to>
    <xdr:cxnSp macro="">
      <xdr:nvCxnSpPr>
        <xdr:cNvPr id="15" name="Conector recto de flecha 14"/>
        <xdr:cNvCxnSpPr/>
      </xdr:nvCxnSpPr>
      <xdr:spPr>
        <a:xfrm>
          <a:off x="8966200" y="6184900"/>
          <a:ext cx="0" cy="2413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419100</xdr:colOff>
      <xdr:row>32</xdr:row>
      <xdr:rowOff>127000</xdr:rowOff>
    </xdr:from>
    <xdr:to>
      <xdr:col>13</xdr:col>
      <xdr:colOff>279400</xdr:colOff>
      <xdr:row>32</xdr:row>
      <xdr:rowOff>139700</xdr:rowOff>
    </xdr:to>
    <xdr:cxnSp macro="">
      <xdr:nvCxnSpPr>
        <xdr:cNvPr id="18" name="Conector recto 17"/>
        <xdr:cNvCxnSpPr/>
      </xdr:nvCxnSpPr>
      <xdr:spPr>
        <a:xfrm flipV="1">
          <a:off x="8991600" y="6413500"/>
          <a:ext cx="1384300" cy="12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457200</xdr:colOff>
      <xdr:row>32</xdr:row>
      <xdr:rowOff>127000</xdr:rowOff>
    </xdr:from>
    <xdr:to>
      <xdr:col>13</xdr:col>
      <xdr:colOff>368300</xdr:colOff>
      <xdr:row>32</xdr:row>
      <xdr:rowOff>139700</xdr:rowOff>
    </xdr:to>
    <xdr:cxnSp macro="">
      <xdr:nvCxnSpPr>
        <xdr:cNvPr id="20" name="Conector recto de flecha 19"/>
        <xdr:cNvCxnSpPr/>
      </xdr:nvCxnSpPr>
      <xdr:spPr>
        <a:xfrm flipV="1">
          <a:off x="9029700" y="6413500"/>
          <a:ext cx="1435100" cy="127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381000</xdr:colOff>
      <xdr:row>26</xdr:row>
      <xdr:rowOff>101600</xdr:rowOff>
    </xdr:from>
    <xdr:to>
      <xdr:col>13</xdr:col>
      <xdr:colOff>419100</xdr:colOff>
      <xdr:row>32</xdr:row>
      <xdr:rowOff>88900</xdr:rowOff>
    </xdr:to>
    <xdr:cxnSp macro="">
      <xdr:nvCxnSpPr>
        <xdr:cNvPr id="22" name="Conector recto de flecha 21"/>
        <xdr:cNvCxnSpPr/>
      </xdr:nvCxnSpPr>
      <xdr:spPr>
        <a:xfrm flipH="1" flipV="1">
          <a:off x="10477500" y="5168900"/>
          <a:ext cx="38100" cy="12065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342900</xdr:colOff>
      <xdr:row>26</xdr:row>
      <xdr:rowOff>50800</xdr:rowOff>
    </xdr:from>
    <xdr:to>
      <xdr:col>13</xdr:col>
      <xdr:colOff>228600</xdr:colOff>
      <xdr:row>26</xdr:row>
      <xdr:rowOff>63500</xdr:rowOff>
    </xdr:to>
    <xdr:cxnSp macro="">
      <xdr:nvCxnSpPr>
        <xdr:cNvPr id="24" name="Conector recto de flecha 23"/>
        <xdr:cNvCxnSpPr/>
      </xdr:nvCxnSpPr>
      <xdr:spPr>
        <a:xfrm flipH="1">
          <a:off x="2628900" y="5118100"/>
          <a:ext cx="7696200" cy="127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393700</xdr:colOff>
      <xdr:row>31</xdr:row>
      <xdr:rowOff>139700</xdr:rowOff>
    </xdr:from>
    <xdr:to>
      <xdr:col>13</xdr:col>
      <xdr:colOff>368300</xdr:colOff>
      <xdr:row>31</xdr:row>
      <xdr:rowOff>152400</xdr:rowOff>
    </xdr:to>
    <xdr:cxnSp macro="">
      <xdr:nvCxnSpPr>
        <xdr:cNvPr id="10" name="Conector recto de flecha 9"/>
        <xdr:cNvCxnSpPr/>
      </xdr:nvCxnSpPr>
      <xdr:spPr>
        <a:xfrm flipH="1">
          <a:off x="2679700" y="6223000"/>
          <a:ext cx="7785100" cy="127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215900</xdr:colOff>
      <xdr:row>26</xdr:row>
      <xdr:rowOff>101600</xdr:rowOff>
    </xdr:from>
    <xdr:to>
      <xdr:col>3</xdr:col>
      <xdr:colOff>228600</xdr:colOff>
      <xdr:row>31</xdr:row>
      <xdr:rowOff>88900</xdr:rowOff>
    </xdr:to>
    <xdr:cxnSp macro="">
      <xdr:nvCxnSpPr>
        <xdr:cNvPr id="14" name="Conector recto de flecha 13"/>
        <xdr:cNvCxnSpPr/>
      </xdr:nvCxnSpPr>
      <xdr:spPr>
        <a:xfrm flipV="1">
          <a:off x="2501900" y="5168900"/>
          <a:ext cx="12700" cy="10033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381000</xdr:colOff>
      <xdr:row>26</xdr:row>
      <xdr:rowOff>63500</xdr:rowOff>
    </xdr:from>
    <xdr:to>
      <xdr:col>13</xdr:col>
      <xdr:colOff>292100</xdr:colOff>
      <xdr:row>26</xdr:row>
      <xdr:rowOff>76200</xdr:rowOff>
    </xdr:to>
    <xdr:cxnSp macro="">
      <xdr:nvCxnSpPr>
        <xdr:cNvPr id="16" name="Conector recto de flecha 15"/>
        <xdr:cNvCxnSpPr/>
      </xdr:nvCxnSpPr>
      <xdr:spPr>
        <a:xfrm>
          <a:off x="2667000" y="5130800"/>
          <a:ext cx="7721600" cy="127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431800</xdr:colOff>
      <xdr:row>26</xdr:row>
      <xdr:rowOff>101600</xdr:rowOff>
    </xdr:from>
    <xdr:to>
      <xdr:col>13</xdr:col>
      <xdr:colOff>444500</xdr:colOff>
      <xdr:row>31</xdr:row>
      <xdr:rowOff>101600</xdr:rowOff>
    </xdr:to>
    <xdr:cxnSp macro="">
      <xdr:nvCxnSpPr>
        <xdr:cNvPr id="18" name="Conector recto de flecha 17"/>
        <xdr:cNvCxnSpPr/>
      </xdr:nvCxnSpPr>
      <xdr:spPr>
        <a:xfrm flipH="1">
          <a:off x="10528300" y="5168900"/>
          <a:ext cx="12700" cy="10160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28</xdr:row>
      <xdr:rowOff>152400</xdr:rowOff>
    </xdr:from>
    <xdr:to>
      <xdr:col>3</xdr:col>
      <xdr:colOff>279400</xdr:colOff>
      <xdr:row>31</xdr:row>
      <xdr:rowOff>127000</xdr:rowOff>
    </xdr:to>
    <xdr:cxnSp macro="">
      <xdr:nvCxnSpPr>
        <xdr:cNvPr id="11" name="Conector recto de flecha 10"/>
        <xdr:cNvCxnSpPr/>
      </xdr:nvCxnSpPr>
      <xdr:spPr>
        <a:xfrm>
          <a:off x="2552700" y="5626100"/>
          <a:ext cx="12700" cy="5842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419100</xdr:colOff>
      <xdr:row>31</xdr:row>
      <xdr:rowOff>127000</xdr:rowOff>
    </xdr:from>
    <xdr:to>
      <xdr:col>13</xdr:col>
      <xdr:colOff>482600</xdr:colOff>
      <xdr:row>31</xdr:row>
      <xdr:rowOff>165100</xdr:rowOff>
    </xdr:to>
    <xdr:cxnSp macro="">
      <xdr:nvCxnSpPr>
        <xdr:cNvPr id="13" name="Conector recto de flecha 12"/>
        <xdr:cNvCxnSpPr/>
      </xdr:nvCxnSpPr>
      <xdr:spPr>
        <a:xfrm flipV="1">
          <a:off x="2705100" y="6210300"/>
          <a:ext cx="7874000" cy="381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342900</xdr:colOff>
      <xdr:row>28</xdr:row>
      <xdr:rowOff>114300</xdr:rowOff>
    </xdr:from>
    <xdr:to>
      <xdr:col>13</xdr:col>
      <xdr:colOff>355600</xdr:colOff>
      <xdr:row>31</xdr:row>
      <xdr:rowOff>88900</xdr:rowOff>
    </xdr:to>
    <xdr:cxnSp macro="">
      <xdr:nvCxnSpPr>
        <xdr:cNvPr id="15" name="Conector recto de flecha 14"/>
        <xdr:cNvCxnSpPr/>
      </xdr:nvCxnSpPr>
      <xdr:spPr>
        <a:xfrm flipH="1" flipV="1">
          <a:off x="10439400" y="5588000"/>
          <a:ext cx="12700" cy="5842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698500</xdr:colOff>
      <xdr:row>28</xdr:row>
      <xdr:rowOff>88900</xdr:rowOff>
    </xdr:from>
    <xdr:to>
      <xdr:col>13</xdr:col>
      <xdr:colOff>228600</xdr:colOff>
      <xdr:row>28</xdr:row>
      <xdr:rowOff>101600</xdr:rowOff>
    </xdr:to>
    <xdr:cxnSp macro="">
      <xdr:nvCxnSpPr>
        <xdr:cNvPr id="17" name="Conector recto de flecha 16"/>
        <xdr:cNvCxnSpPr/>
      </xdr:nvCxnSpPr>
      <xdr:spPr>
        <a:xfrm flipH="1" flipV="1">
          <a:off x="2984500" y="5562600"/>
          <a:ext cx="7340600" cy="1270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1"/>
  <sheetViews>
    <sheetView topLeftCell="A16" zoomScale="75" zoomScaleNormal="75" workbookViewId="0">
      <selection activeCell="A22" sqref="A22:K41"/>
    </sheetView>
  </sheetViews>
  <sheetFormatPr baseColWidth="10" defaultRowHeight="15" x14ac:dyDescent="0.25"/>
  <cols>
    <col min="6" max="6" width="14.28515625" bestFit="1" customWidth="1"/>
    <col min="8" max="8" width="13.5703125" customWidth="1"/>
    <col min="9" max="9" width="18.140625" customWidth="1"/>
  </cols>
  <sheetData>
    <row r="2" spans="1:25" x14ac:dyDescent="0.25">
      <c r="B2" s="128" t="s">
        <v>0</v>
      </c>
      <c r="C2" s="128" t="s">
        <v>2</v>
      </c>
      <c r="D2" s="129" t="s">
        <v>4</v>
      </c>
      <c r="E2" s="128" t="s">
        <v>6</v>
      </c>
      <c r="F2" s="128" t="s">
        <v>8</v>
      </c>
      <c r="G2" s="128" t="s">
        <v>10</v>
      </c>
      <c r="H2" s="128" t="s">
        <v>13</v>
      </c>
      <c r="T2" s="3" t="s">
        <v>17</v>
      </c>
      <c r="U2" t="s">
        <v>31</v>
      </c>
      <c r="V2" t="s">
        <v>32</v>
      </c>
      <c r="W2" s="3" t="s">
        <v>18</v>
      </c>
      <c r="X2" s="3" t="s">
        <v>29</v>
      </c>
      <c r="Y2" s="3" t="s">
        <v>30</v>
      </c>
    </row>
    <row r="3" spans="1:25" x14ac:dyDescent="0.25">
      <c r="A3" s="127" t="s">
        <v>12</v>
      </c>
      <c r="B3" s="31">
        <v>0</v>
      </c>
      <c r="C3" s="31">
        <f>B3+0.4</f>
        <v>0.4</v>
      </c>
      <c r="D3" s="31">
        <f>C3+0.4</f>
        <v>0.8</v>
      </c>
      <c r="E3" s="31">
        <f t="shared" ref="E3:G3" si="0">D3+0.4</f>
        <v>1.2000000000000002</v>
      </c>
      <c r="F3" s="31">
        <f t="shared" si="0"/>
        <v>1.6</v>
      </c>
      <c r="G3" s="31">
        <f t="shared" si="0"/>
        <v>2</v>
      </c>
      <c r="H3" s="31">
        <v>0</v>
      </c>
      <c r="K3" s="137" t="s">
        <v>19</v>
      </c>
      <c r="L3" s="137"/>
      <c r="M3" s="137"/>
      <c r="N3" s="137"/>
      <c r="O3">
        <v>150</v>
      </c>
      <c r="S3" t="s">
        <v>0</v>
      </c>
      <c r="T3">
        <v>18</v>
      </c>
      <c r="U3">
        <f>T3*O8</f>
        <v>3456</v>
      </c>
      <c r="V3">
        <f>T3*$O$9</f>
        <v>864</v>
      </c>
      <c r="W3">
        <v>4100</v>
      </c>
      <c r="X3">
        <f>W3*O$4</f>
        <v>205</v>
      </c>
      <c r="Y3">
        <f>W3+X3</f>
        <v>4305</v>
      </c>
    </row>
    <row r="4" spans="1:25" x14ac:dyDescent="0.25">
      <c r="A4" s="127" t="s">
        <v>0</v>
      </c>
      <c r="B4" s="31">
        <f>O10</f>
        <v>14</v>
      </c>
      <c r="C4" s="31">
        <f>B4+0.4</f>
        <v>14.4</v>
      </c>
      <c r="D4" s="31">
        <f t="shared" ref="D4:G4" si="1">C4+0.4</f>
        <v>14.8</v>
      </c>
      <c r="E4" s="31">
        <f t="shared" si="1"/>
        <v>15.200000000000001</v>
      </c>
      <c r="F4" s="31">
        <f t="shared" si="1"/>
        <v>15.600000000000001</v>
      </c>
      <c r="G4" s="31">
        <f t="shared" si="1"/>
        <v>16</v>
      </c>
      <c r="H4" s="31">
        <v>0</v>
      </c>
      <c r="K4" s="137" t="s">
        <v>34</v>
      </c>
      <c r="L4" s="137"/>
      <c r="M4" s="137"/>
      <c r="N4" s="137"/>
      <c r="O4" s="8">
        <f>0.05</f>
        <v>0.05</v>
      </c>
      <c r="S4" t="s">
        <v>2</v>
      </c>
      <c r="T4">
        <v>7</v>
      </c>
      <c r="U4">
        <f>T4*$O$8</f>
        <v>1344</v>
      </c>
      <c r="V4">
        <f t="shared" ref="V4:V8" si="2">T4*$O$9</f>
        <v>336</v>
      </c>
      <c r="W4">
        <v>2600</v>
      </c>
      <c r="X4">
        <f t="shared" ref="X4:X8" si="3">W4*O$4</f>
        <v>130</v>
      </c>
      <c r="Y4">
        <f>W4+X4-X3</f>
        <v>2525</v>
      </c>
    </row>
    <row r="5" spans="1:25" x14ac:dyDescent="0.25">
      <c r="A5" s="127" t="s">
        <v>1</v>
      </c>
      <c r="B5" s="31">
        <f>B4+O11</f>
        <v>15.5</v>
      </c>
      <c r="C5" s="31">
        <f>B5+$O$12</f>
        <v>15.9</v>
      </c>
      <c r="D5" s="31">
        <f t="shared" ref="D5:G5" si="4">C5+$O$12</f>
        <v>16.3</v>
      </c>
      <c r="E5" s="31">
        <f t="shared" si="4"/>
        <v>16.7</v>
      </c>
      <c r="F5" s="31">
        <f t="shared" si="4"/>
        <v>17.099999999999998</v>
      </c>
      <c r="G5" s="31">
        <f t="shared" si="4"/>
        <v>17.499999999999996</v>
      </c>
      <c r="H5" s="31">
        <v>0</v>
      </c>
      <c r="K5" s="137" t="s">
        <v>22</v>
      </c>
      <c r="L5" s="137"/>
      <c r="M5" s="137"/>
      <c r="N5" s="137"/>
      <c r="O5">
        <v>16</v>
      </c>
      <c r="S5" t="s">
        <v>4</v>
      </c>
      <c r="T5">
        <v>21</v>
      </c>
      <c r="U5">
        <f t="shared" ref="U5:U8" si="5">T5*$O$8</f>
        <v>4032</v>
      </c>
      <c r="V5">
        <f t="shared" si="2"/>
        <v>1008</v>
      </c>
      <c r="W5">
        <v>4400</v>
      </c>
      <c r="X5">
        <f t="shared" si="3"/>
        <v>220</v>
      </c>
      <c r="Y5">
        <f t="shared" ref="Y5:Y8" si="6">W5+X5-X4</f>
        <v>4490</v>
      </c>
    </row>
    <row r="6" spans="1:25" x14ac:dyDescent="0.25">
      <c r="A6" s="127" t="s">
        <v>2</v>
      </c>
      <c r="B6" s="31">
        <f>C6+O13</f>
        <v>24</v>
      </c>
      <c r="C6" s="31">
        <f>B4</f>
        <v>14</v>
      </c>
      <c r="D6" s="31">
        <f>C6+$O12</f>
        <v>14.4</v>
      </c>
      <c r="E6" s="31">
        <f t="shared" ref="E6:G6" si="7">D6+$O12</f>
        <v>14.8</v>
      </c>
      <c r="F6" s="31">
        <f t="shared" si="7"/>
        <v>15.200000000000001</v>
      </c>
      <c r="G6" s="31">
        <f t="shared" si="7"/>
        <v>15.600000000000001</v>
      </c>
      <c r="H6" s="31">
        <v>0</v>
      </c>
      <c r="K6" s="136" t="s">
        <v>23</v>
      </c>
      <c r="L6" s="136"/>
      <c r="M6" s="136"/>
      <c r="N6" s="136"/>
      <c r="O6">
        <v>8</v>
      </c>
      <c r="S6" t="s">
        <v>6</v>
      </c>
      <c r="T6">
        <v>23</v>
      </c>
      <c r="U6">
        <f t="shared" si="5"/>
        <v>4416</v>
      </c>
      <c r="V6">
        <f t="shared" si="2"/>
        <v>1104</v>
      </c>
      <c r="W6">
        <v>5140</v>
      </c>
      <c r="X6">
        <f t="shared" si="3"/>
        <v>257</v>
      </c>
      <c r="Y6">
        <f t="shared" si="6"/>
        <v>5177</v>
      </c>
    </row>
    <row r="7" spans="1:25" x14ac:dyDescent="0.25">
      <c r="A7" s="127" t="s">
        <v>3</v>
      </c>
      <c r="B7" s="31">
        <f>C7+O13</f>
        <v>25.5</v>
      </c>
      <c r="C7" s="31">
        <f>C6+O11</f>
        <v>15.5</v>
      </c>
      <c r="D7" s="31">
        <f>C7+$O12</f>
        <v>15.9</v>
      </c>
      <c r="E7" s="31">
        <f t="shared" ref="E7:G7" si="8">D7+$O12</f>
        <v>16.3</v>
      </c>
      <c r="F7" s="31">
        <f t="shared" si="8"/>
        <v>16.7</v>
      </c>
      <c r="G7" s="31">
        <f t="shared" si="8"/>
        <v>17.099999999999998</v>
      </c>
      <c r="H7" s="31">
        <v>0</v>
      </c>
      <c r="K7" s="137" t="s">
        <v>24</v>
      </c>
      <c r="L7" s="137"/>
      <c r="M7" s="137"/>
      <c r="N7" s="137"/>
      <c r="O7" s="5">
        <v>1.5</v>
      </c>
      <c r="S7" t="s">
        <v>21</v>
      </c>
      <c r="T7">
        <v>21</v>
      </c>
      <c r="U7">
        <f t="shared" si="5"/>
        <v>4032</v>
      </c>
      <c r="V7">
        <f t="shared" si="2"/>
        <v>1008</v>
      </c>
      <c r="W7">
        <v>4620</v>
      </c>
      <c r="X7">
        <f t="shared" si="3"/>
        <v>231</v>
      </c>
      <c r="Y7">
        <f t="shared" si="6"/>
        <v>4594</v>
      </c>
    </row>
    <row r="8" spans="1:25" x14ac:dyDescent="0.25">
      <c r="A8" s="127" t="s">
        <v>4</v>
      </c>
      <c r="B8" s="31">
        <f>C8+$O13</f>
        <v>34</v>
      </c>
      <c r="C8" s="31">
        <f>D8+$O13</f>
        <v>24</v>
      </c>
      <c r="D8" s="31">
        <f>O10</f>
        <v>14</v>
      </c>
      <c r="E8" s="31">
        <f>D8+$O12</f>
        <v>14.4</v>
      </c>
      <c r="F8" s="31">
        <f t="shared" ref="F8:G8" si="9">E8+$O12</f>
        <v>14.8</v>
      </c>
      <c r="G8" s="31">
        <f t="shared" si="9"/>
        <v>15.200000000000001</v>
      </c>
      <c r="H8" s="31">
        <v>0</v>
      </c>
      <c r="K8" s="136" t="s">
        <v>33</v>
      </c>
      <c r="L8" s="136"/>
      <c r="M8" s="136"/>
      <c r="N8" s="136"/>
      <c r="O8">
        <f>O5*O6*O7</f>
        <v>192</v>
      </c>
      <c r="S8" t="s">
        <v>10</v>
      </c>
      <c r="T8">
        <v>20</v>
      </c>
      <c r="U8">
        <f t="shared" si="5"/>
        <v>3840</v>
      </c>
      <c r="V8">
        <f t="shared" si="2"/>
        <v>960</v>
      </c>
      <c r="W8">
        <v>3700</v>
      </c>
      <c r="X8">
        <f t="shared" si="3"/>
        <v>185</v>
      </c>
      <c r="Y8">
        <f t="shared" si="6"/>
        <v>3654</v>
      </c>
    </row>
    <row r="9" spans="1:25" x14ac:dyDescent="0.25">
      <c r="A9" s="127" t="s">
        <v>5</v>
      </c>
      <c r="B9" s="31">
        <f>C9+O13</f>
        <v>35.5</v>
      </c>
      <c r="C9" s="31">
        <f>D9+O13</f>
        <v>25.5</v>
      </c>
      <c r="D9" s="31">
        <f>D8+O11</f>
        <v>15.5</v>
      </c>
      <c r="E9" s="31">
        <f>D9+$O12</f>
        <v>15.9</v>
      </c>
      <c r="F9" s="31">
        <f t="shared" ref="F9:G9" si="10">E9+$O12</f>
        <v>16.3</v>
      </c>
      <c r="G9" s="31">
        <f t="shared" si="10"/>
        <v>16.7</v>
      </c>
      <c r="H9" s="31">
        <v>0</v>
      </c>
      <c r="K9" s="136" t="s">
        <v>25</v>
      </c>
      <c r="L9" s="136"/>
      <c r="M9" s="136"/>
      <c r="N9" s="136"/>
      <c r="O9">
        <f>O8/4</f>
        <v>48</v>
      </c>
    </row>
    <row r="10" spans="1:25" x14ac:dyDescent="0.25">
      <c r="A10" s="127" t="s">
        <v>6</v>
      </c>
      <c r="B10" s="31">
        <f t="shared" ref="B10:C10" si="11">C10+$O13</f>
        <v>44</v>
      </c>
      <c r="C10" s="31">
        <f t="shared" si="11"/>
        <v>34</v>
      </c>
      <c r="D10" s="31">
        <f>E10+$O13</f>
        <v>24</v>
      </c>
      <c r="E10" s="31">
        <f>O10</f>
        <v>14</v>
      </c>
      <c r="F10" s="31">
        <f>E10+$O12</f>
        <v>14.4</v>
      </c>
      <c r="G10" s="31">
        <f>F10+$O12</f>
        <v>14.8</v>
      </c>
      <c r="H10" s="31">
        <v>0</v>
      </c>
      <c r="K10" s="136" t="s">
        <v>26</v>
      </c>
      <c r="L10" s="136"/>
      <c r="M10" s="136"/>
      <c r="N10" s="136"/>
      <c r="O10">
        <v>14</v>
      </c>
      <c r="V10">
        <f>SUM(U3:V8)+O3</f>
        <v>26550</v>
      </c>
      <c r="Y10">
        <f>SUM(Y2:Y8)</f>
        <v>24745</v>
      </c>
    </row>
    <row r="11" spans="1:25" x14ac:dyDescent="0.25">
      <c r="A11" s="127" t="s">
        <v>7</v>
      </c>
      <c r="B11" s="31">
        <f t="shared" ref="B11:C11" si="12">C11+$O13</f>
        <v>45.5</v>
      </c>
      <c r="C11" s="31">
        <f t="shared" si="12"/>
        <v>35.5</v>
      </c>
      <c r="D11" s="31">
        <f>E11+$O13</f>
        <v>25.5</v>
      </c>
      <c r="E11" s="31">
        <f>E10+O11</f>
        <v>15.5</v>
      </c>
      <c r="F11" s="31">
        <f>E11+$O12</f>
        <v>15.9</v>
      </c>
      <c r="G11" s="31">
        <f>F11+$O12</f>
        <v>16.3</v>
      </c>
      <c r="H11" s="31">
        <v>0</v>
      </c>
      <c r="K11" s="137" t="s">
        <v>27</v>
      </c>
      <c r="L11" s="137"/>
      <c r="M11" s="137"/>
      <c r="N11" s="137"/>
      <c r="O11">
        <v>1.5</v>
      </c>
      <c r="X11" t="s">
        <v>13</v>
      </c>
      <c r="Y11">
        <f>V10-Y10</f>
        <v>1805</v>
      </c>
    </row>
    <row r="12" spans="1:25" x14ac:dyDescent="0.25">
      <c r="A12" s="127" t="s">
        <v>8</v>
      </c>
      <c r="B12" s="31">
        <f t="shared" ref="B12:D12" si="13">C12+$O13</f>
        <v>54</v>
      </c>
      <c r="C12" s="31">
        <f t="shared" si="13"/>
        <v>44</v>
      </c>
      <c r="D12" s="31">
        <f t="shared" si="13"/>
        <v>34</v>
      </c>
      <c r="E12" s="31">
        <f>F12+$O13</f>
        <v>24</v>
      </c>
      <c r="F12" s="31">
        <f>O10</f>
        <v>14</v>
      </c>
      <c r="G12" s="31">
        <f>F12+O12</f>
        <v>14.4</v>
      </c>
      <c r="H12" s="31">
        <v>0</v>
      </c>
      <c r="K12" s="136" t="s">
        <v>20</v>
      </c>
      <c r="L12" s="136"/>
      <c r="M12" s="136"/>
      <c r="N12" s="136"/>
      <c r="O12">
        <v>0.4</v>
      </c>
    </row>
    <row r="13" spans="1:25" x14ac:dyDescent="0.25">
      <c r="A13" s="127" t="s">
        <v>9</v>
      </c>
      <c r="B13" s="31">
        <f t="shared" ref="B13:D13" si="14">C13+$O13</f>
        <v>55.5</v>
      </c>
      <c r="C13" s="31">
        <f t="shared" si="14"/>
        <v>45.5</v>
      </c>
      <c r="D13" s="31">
        <f t="shared" si="14"/>
        <v>35.5</v>
      </c>
      <c r="E13" s="31">
        <f>F13+$O13</f>
        <v>25.5</v>
      </c>
      <c r="F13" s="31">
        <f>F12+O11</f>
        <v>15.5</v>
      </c>
      <c r="G13" s="31">
        <f>F13+O12</f>
        <v>15.9</v>
      </c>
      <c r="H13" s="31">
        <v>0</v>
      </c>
      <c r="K13" s="136" t="s">
        <v>28</v>
      </c>
      <c r="L13" s="136"/>
      <c r="M13" s="136"/>
      <c r="N13" s="136"/>
      <c r="O13">
        <v>10</v>
      </c>
    </row>
    <row r="14" spans="1:25" x14ac:dyDescent="0.25">
      <c r="A14" s="127" t="s">
        <v>10</v>
      </c>
      <c r="B14" s="31">
        <f t="shared" ref="B14:E14" si="15">C14+$O13</f>
        <v>64</v>
      </c>
      <c r="C14" s="31">
        <f t="shared" si="15"/>
        <v>54</v>
      </c>
      <c r="D14" s="31">
        <f t="shared" si="15"/>
        <v>44</v>
      </c>
      <c r="E14" s="31">
        <f t="shared" si="15"/>
        <v>34</v>
      </c>
      <c r="F14" s="31">
        <f>G14+$O13</f>
        <v>24</v>
      </c>
      <c r="G14" s="31">
        <f>O10</f>
        <v>14</v>
      </c>
      <c r="H14" s="31">
        <v>0</v>
      </c>
    </row>
    <row r="15" spans="1:25" x14ac:dyDescent="0.25">
      <c r="A15" s="127" t="s">
        <v>11</v>
      </c>
      <c r="B15" s="31">
        <f t="shared" ref="B15:E15" si="16">C15+$O13</f>
        <v>65.5</v>
      </c>
      <c r="C15" s="31">
        <f t="shared" si="16"/>
        <v>55.5</v>
      </c>
      <c r="D15" s="31">
        <f t="shared" si="16"/>
        <v>45.5</v>
      </c>
      <c r="E15" s="31">
        <f t="shared" si="16"/>
        <v>35.5</v>
      </c>
      <c r="F15" s="31">
        <f>G15+$O13</f>
        <v>25.5</v>
      </c>
      <c r="G15" s="31">
        <f>G14+O11</f>
        <v>15.5</v>
      </c>
      <c r="H15" s="31">
        <v>0</v>
      </c>
    </row>
    <row r="18" spans="1:25" x14ac:dyDescent="0.25">
      <c r="T18">
        <v>4305</v>
      </c>
      <c r="U18">
        <v>2525</v>
      </c>
      <c r="V18">
        <v>4490</v>
      </c>
      <c r="W18">
        <v>5177</v>
      </c>
      <c r="X18">
        <v>4594</v>
      </c>
      <c r="Y18">
        <v>3654</v>
      </c>
    </row>
    <row r="22" spans="1:25" x14ac:dyDescent="0.25">
      <c r="B22" s="1" t="s">
        <v>0</v>
      </c>
      <c r="C22" s="1" t="s">
        <v>2</v>
      </c>
      <c r="D22" s="2" t="s">
        <v>4</v>
      </c>
      <c r="E22" s="1" t="s">
        <v>6</v>
      </c>
      <c r="F22" s="1" t="s">
        <v>8</v>
      </c>
      <c r="G22" s="1" t="s">
        <v>10</v>
      </c>
      <c r="H22" s="1" t="s">
        <v>13</v>
      </c>
      <c r="I22" s="1" t="s">
        <v>15</v>
      </c>
      <c r="K22" s="1" t="s">
        <v>74</v>
      </c>
    </row>
    <row r="23" spans="1:25" x14ac:dyDescent="0.25">
      <c r="A23" t="s">
        <v>12</v>
      </c>
      <c r="B23">
        <v>0</v>
      </c>
      <c r="C23">
        <v>150</v>
      </c>
      <c r="D23">
        <v>0</v>
      </c>
      <c r="E23">
        <v>0</v>
      </c>
      <c r="F23">
        <v>0</v>
      </c>
      <c r="G23">
        <v>0</v>
      </c>
      <c r="H23">
        <v>0</v>
      </c>
      <c r="I23">
        <f>SUM(B23:H23)</f>
        <v>150</v>
      </c>
      <c r="K23">
        <f>O3</f>
        <v>150</v>
      </c>
    </row>
    <row r="24" spans="1:25" x14ac:dyDescent="0.25">
      <c r="A24" t="s">
        <v>0</v>
      </c>
      <c r="B24">
        <v>3441</v>
      </c>
      <c r="C24">
        <v>15</v>
      </c>
      <c r="D24">
        <v>0</v>
      </c>
      <c r="E24">
        <v>0</v>
      </c>
      <c r="F24">
        <v>0</v>
      </c>
      <c r="G24">
        <v>0</v>
      </c>
      <c r="H24">
        <v>0</v>
      </c>
      <c r="I24">
        <f t="shared" ref="I24:I35" si="17">SUM(B24:H24)</f>
        <v>3456</v>
      </c>
      <c r="K24">
        <f>U3</f>
        <v>3456</v>
      </c>
    </row>
    <row r="25" spans="1:25" x14ac:dyDescent="0.25">
      <c r="A25" t="s">
        <v>1</v>
      </c>
      <c r="B25">
        <v>864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f t="shared" si="17"/>
        <v>864</v>
      </c>
      <c r="K25">
        <f>V3</f>
        <v>864</v>
      </c>
    </row>
    <row r="26" spans="1:25" x14ac:dyDescent="0.25">
      <c r="A26" t="s">
        <v>2</v>
      </c>
      <c r="B26">
        <v>0</v>
      </c>
      <c r="C26">
        <v>1344</v>
      </c>
      <c r="D26">
        <v>0</v>
      </c>
      <c r="E26">
        <v>0</v>
      </c>
      <c r="F26">
        <v>0</v>
      </c>
      <c r="G26">
        <v>0</v>
      </c>
      <c r="H26">
        <v>0</v>
      </c>
      <c r="I26">
        <f t="shared" si="17"/>
        <v>1344</v>
      </c>
      <c r="K26">
        <f>U4</f>
        <v>1344</v>
      </c>
    </row>
    <row r="27" spans="1:25" x14ac:dyDescent="0.25">
      <c r="A27" t="s">
        <v>3</v>
      </c>
      <c r="B27">
        <v>0</v>
      </c>
      <c r="C27">
        <v>336</v>
      </c>
      <c r="D27">
        <v>0</v>
      </c>
      <c r="E27">
        <v>0</v>
      </c>
      <c r="F27">
        <v>0</v>
      </c>
      <c r="G27">
        <v>0</v>
      </c>
      <c r="H27">
        <v>0</v>
      </c>
      <c r="I27">
        <f t="shared" si="17"/>
        <v>336</v>
      </c>
      <c r="K27">
        <f>V4</f>
        <v>336</v>
      </c>
    </row>
    <row r="28" spans="1:25" x14ac:dyDescent="0.25">
      <c r="A28" t="s">
        <v>4</v>
      </c>
      <c r="B28">
        <v>0</v>
      </c>
      <c r="C28">
        <v>0</v>
      </c>
      <c r="D28">
        <v>4032</v>
      </c>
      <c r="E28">
        <v>0</v>
      </c>
      <c r="F28">
        <v>0</v>
      </c>
      <c r="G28">
        <v>0</v>
      </c>
      <c r="H28">
        <v>0</v>
      </c>
      <c r="I28">
        <f t="shared" si="17"/>
        <v>4032</v>
      </c>
      <c r="K28">
        <f>U5</f>
        <v>4032</v>
      </c>
    </row>
    <row r="29" spans="1:25" x14ac:dyDescent="0.25">
      <c r="A29" t="s">
        <v>5</v>
      </c>
      <c r="B29">
        <v>0</v>
      </c>
      <c r="C29">
        <v>550</v>
      </c>
      <c r="D29">
        <v>458</v>
      </c>
      <c r="E29">
        <v>0</v>
      </c>
      <c r="F29">
        <v>0</v>
      </c>
      <c r="G29">
        <v>0</v>
      </c>
      <c r="H29">
        <v>0</v>
      </c>
      <c r="I29">
        <f t="shared" si="17"/>
        <v>1008</v>
      </c>
      <c r="K29">
        <f>V5</f>
        <v>1008</v>
      </c>
    </row>
    <row r="30" spans="1:25" x14ac:dyDescent="0.25">
      <c r="A30" t="s">
        <v>6</v>
      </c>
      <c r="B30">
        <v>0</v>
      </c>
      <c r="C30">
        <v>0</v>
      </c>
      <c r="D30">
        <v>0</v>
      </c>
      <c r="E30">
        <v>4416</v>
      </c>
      <c r="F30">
        <v>0</v>
      </c>
      <c r="G30">
        <v>0</v>
      </c>
      <c r="H30">
        <v>0</v>
      </c>
      <c r="I30">
        <f t="shared" si="17"/>
        <v>4416</v>
      </c>
      <c r="K30">
        <f>U6</f>
        <v>4416</v>
      </c>
    </row>
    <row r="31" spans="1:25" x14ac:dyDescent="0.25">
      <c r="A31" t="s">
        <v>7</v>
      </c>
      <c r="B31">
        <v>0</v>
      </c>
      <c r="C31">
        <v>130</v>
      </c>
      <c r="D31">
        <v>0</v>
      </c>
      <c r="E31">
        <v>761</v>
      </c>
      <c r="F31">
        <v>0</v>
      </c>
      <c r="G31">
        <v>0</v>
      </c>
      <c r="H31">
        <v>213</v>
      </c>
      <c r="I31">
        <f t="shared" si="17"/>
        <v>1104</v>
      </c>
      <c r="K31">
        <f>V6</f>
        <v>1104</v>
      </c>
    </row>
    <row r="32" spans="1:25" x14ac:dyDescent="0.25">
      <c r="A32" t="s">
        <v>8</v>
      </c>
      <c r="B32">
        <v>0</v>
      </c>
      <c r="C32">
        <v>0</v>
      </c>
      <c r="D32">
        <v>0</v>
      </c>
      <c r="E32">
        <v>0</v>
      </c>
      <c r="F32">
        <v>4032</v>
      </c>
      <c r="G32">
        <v>0</v>
      </c>
      <c r="H32">
        <v>0</v>
      </c>
      <c r="I32">
        <f t="shared" si="17"/>
        <v>4032</v>
      </c>
      <c r="K32">
        <f>U7</f>
        <v>4032</v>
      </c>
    </row>
    <row r="33" spans="1:11" x14ac:dyDescent="0.25">
      <c r="A33" t="s">
        <v>9</v>
      </c>
      <c r="B33">
        <v>0</v>
      </c>
      <c r="C33">
        <v>0</v>
      </c>
      <c r="D33">
        <v>0</v>
      </c>
      <c r="E33">
        <v>0</v>
      </c>
      <c r="F33">
        <v>562</v>
      </c>
      <c r="G33">
        <v>0</v>
      </c>
      <c r="H33">
        <v>446</v>
      </c>
      <c r="I33">
        <f t="shared" si="17"/>
        <v>1008</v>
      </c>
      <c r="K33">
        <f>V7</f>
        <v>1008</v>
      </c>
    </row>
    <row r="34" spans="1:11" x14ac:dyDescent="0.25">
      <c r="A34" t="s">
        <v>10</v>
      </c>
      <c r="B34">
        <v>0</v>
      </c>
      <c r="C34">
        <v>0</v>
      </c>
      <c r="D34">
        <v>0</v>
      </c>
      <c r="E34">
        <v>0</v>
      </c>
      <c r="F34">
        <v>0</v>
      </c>
      <c r="G34">
        <v>3654</v>
      </c>
      <c r="H34">
        <v>186</v>
      </c>
      <c r="I34">
        <f t="shared" si="17"/>
        <v>3840</v>
      </c>
      <c r="K34">
        <f>U8</f>
        <v>3840</v>
      </c>
    </row>
    <row r="35" spans="1:11" x14ac:dyDescent="0.25">
      <c r="A35" t="s">
        <v>11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960</v>
      </c>
      <c r="I35">
        <f t="shared" si="17"/>
        <v>960</v>
      </c>
      <c r="K35">
        <f>V8</f>
        <v>960</v>
      </c>
    </row>
    <row r="36" spans="1:11" x14ac:dyDescent="0.25">
      <c r="A36" t="s">
        <v>15</v>
      </c>
      <c r="B36">
        <f>SUM(B23:B35)</f>
        <v>4305</v>
      </c>
      <c r="C36">
        <f t="shared" ref="C36:H36" si="18">SUM(C23:C35)</f>
        <v>2525</v>
      </c>
      <c r="D36">
        <f t="shared" si="18"/>
        <v>4490</v>
      </c>
      <c r="E36">
        <f t="shared" si="18"/>
        <v>5177</v>
      </c>
      <c r="F36">
        <f t="shared" si="18"/>
        <v>4594</v>
      </c>
      <c r="G36">
        <f t="shared" si="18"/>
        <v>3654</v>
      </c>
      <c r="H36">
        <f t="shared" si="18"/>
        <v>1805</v>
      </c>
      <c r="K36">
        <f>SUM(K23:K35)</f>
        <v>26550</v>
      </c>
    </row>
    <row r="38" spans="1:11" x14ac:dyDescent="0.25">
      <c r="A38" t="s">
        <v>75</v>
      </c>
      <c r="B38">
        <f>Y3</f>
        <v>4305</v>
      </c>
      <c r="C38">
        <f>Y4</f>
        <v>2525</v>
      </c>
      <c r="D38">
        <f>Y5</f>
        <v>4490</v>
      </c>
      <c r="E38">
        <f>Y6</f>
        <v>5177</v>
      </c>
      <c r="F38">
        <f>Y7</f>
        <v>4594</v>
      </c>
      <c r="G38">
        <f>Y8</f>
        <v>3654</v>
      </c>
      <c r="H38">
        <f>Y11</f>
        <v>1805</v>
      </c>
      <c r="I38">
        <f>SUM(B38:H38)</f>
        <v>26550</v>
      </c>
    </row>
    <row r="41" spans="1:11" ht="18.75" x14ac:dyDescent="0.3">
      <c r="H41" s="133" t="s">
        <v>14</v>
      </c>
      <c r="I41" s="134">
        <f>SUMPRODUCT(B3:H15,B23:H35)</f>
        <v>357987.5</v>
      </c>
    </row>
  </sheetData>
  <mergeCells count="11">
    <mergeCell ref="K10:N10"/>
    <mergeCell ref="K11:N11"/>
    <mergeCell ref="K12:N12"/>
    <mergeCell ref="K13:N13"/>
    <mergeCell ref="K9:N9"/>
    <mergeCell ref="K8:N8"/>
    <mergeCell ref="K3:N3"/>
    <mergeCell ref="K4:N4"/>
    <mergeCell ref="K5:N5"/>
    <mergeCell ref="K6:N6"/>
    <mergeCell ref="K7:N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Q39"/>
  <sheetViews>
    <sheetView topLeftCell="A13" zoomScale="75" zoomScaleNormal="75" workbookViewId="0">
      <selection activeCell="A19" sqref="A19:Q39"/>
    </sheetView>
  </sheetViews>
  <sheetFormatPr baseColWidth="10" defaultRowHeight="15" x14ac:dyDescent="0.25"/>
  <cols>
    <col min="9" max="9" width="18" bestFit="1" customWidth="1"/>
  </cols>
  <sheetData>
    <row r="18" spans="1:17" ht="15.75" thickBot="1" x14ac:dyDescent="0.3"/>
    <row r="19" spans="1:17" ht="15.75" thickBot="1" x14ac:dyDescent="0.3">
      <c r="A19" s="52"/>
      <c r="B19" s="138" t="s">
        <v>35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39"/>
    </row>
    <row r="20" spans="1:17" ht="15.75" thickBot="1" x14ac:dyDescent="0.3">
      <c r="A20" s="13" t="s">
        <v>36</v>
      </c>
      <c r="B20" s="153" t="s">
        <v>0</v>
      </c>
      <c r="C20" s="155"/>
      <c r="D20" s="153" t="s">
        <v>2</v>
      </c>
      <c r="E20" s="155"/>
      <c r="F20" s="153" t="s">
        <v>4</v>
      </c>
      <c r="G20" s="155"/>
      <c r="H20" s="153" t="s">
        <v>6</v>
      </c>
      <c r="I20" s="155"/>
      <c r="J20" s="153" t="s">
        <v>8</v>
      </c>
      <c r="K20" s="155"/>
      <c r="L20" s="142" t="s">
        <v>10</v>
      </c>
      <c r="M20" s="140"/>
      <c r="N20" s="153" t="s">
        <v>13</v>
      </c>
      <c r="O20" s="155"/>
    </row>
    <row r="21" spans="1:17" ht="15.75" thickBot="1" x14ac:dyDescent="0.3">
      <c r="A21" s="14" t="s">
        <v>12</v>
      </c>
      <c r="B21" s="15">
        <v>150</v>
      </c>
      <c r="C21" s="16">
        <f>-Q21</f>
        <v>0</v>
      </c>
      <c r="D21" s="26">
        <f>E21-Q21-E$35</f>
        <v>0</v>
      </c>
      <c r="E21" s="16">
        <v>0.4</v>
      </c>
      <c r="F21" s="26">
        <f>G21-Q21-G$35</f>
        <v>10.400000000000002</v>
      </c>
      <c r="G21" s="16">
        <v>0.8</v>
      </c>
      <c r="H21" s="26">
        <f>I21-Q21-I$35</f>
        <v>10.8</v>
      </c>
      <c r="I21" s="16">
        <v>1.2000000000000002</v>
      </c>
      <c r="J21" s="26">
        <f>K21-Q21-K$35</f>
        <v>11.200000000000001</v>
      </c>
      <c r="K21" s="16">
        <v>1.6</v>
      </c>
      <c r="L21" s="26">
        <f>M21-Q21-M$35</f>
        <v>41.6</v>
      </c>
      <c r="M21" s="57">
        <v>2</v>
      </c>
      <c r="N21" s="26">
        <f>O21-Q21-O35</f>
        <v>25.1</v>
      </c>
      <c r="O21" s="57">
        <v>0</v>
      </c>
      <c r="P21" s="61" t="s">
        <v>47</v>
      </c>
      <c r="Q21" s="62">
        <v>0</v>
      </c>
    </row>
    <row r="22" spans="1:17" x14ac:dyDescent="0.25">
      <c r="A22" s="17" t="s">
        <v>61</v>
      </c>
      <c r="B22" s="9">
        <f>3456-165</f>
        <v>3291</v>
      </c>
      <c r="C22" s="18">
        <v>14</v>
      </c>
      <c r="D22" s="9">
        <v>165</v>
      </c>
      <c r="E22" s="18">
        <v>14.4</v>
      </c>
      <c r="F22" s="25">
        <f t="shared" ref="F22:F25" si="0">G22-Q22-G$35</f>
        <v>10.400000000000002</v>
      </c>
      <c r="G22" s="18">
        <v>14.8</v>
      </c>
      <c r="H22" s="25">
        <f t="shared" ref="H22:H27" si="1">I22-Q22-I$35</f>
        <v>10.800000000000002</v>
      </c>
      <c r="I22" s="18">
        <v>15.200000000000001</v>
      </c>
      <c r="J22" s="25">
        <f t="shared" ref="J22:J27" si="2">K22-Q22-K$35</f>
        <v>11.200000000000003</v>
      </c>
      <c r="K22" s="18">
        <v>15.600000000000001</v>
      </c>
      <c r="L22" s="25">
        <f t="shared" ref="L22:L29" si="3">M22-Q22-M$35</f>
        <v>41.6</v>
      </c>
      <c r="M22" s="58">
        <v>16</v>
      </c>
      <c r="N22" s="25">
        <f>O22-Q22-O35</f>
        <v>11.100000000000001</v>
      </c>
      <c r="O22" s="58">
        <v>0</v>
      </c>
      <c r="P22" s="63" t="s">
        <v>48</v>
      </c>
      <c r="Q22" s="64">
        <f>C22-C35</f>
        <v>14</v>
      </c>
    </row>
    <row r="23" spans="1:17" ht="15.75" thickBot="1" x14ac:dyDescent="0.3">
      <c r="A23" s="19" t="s">
        <v>62</v>
      </c>
      <c r="B23" s="20">
        <f>288+411+165</f>
        <v>864</v>
      </c>
      <c r="C23" s="21">
        <v>15.5</v>
      </c>
      <c r="D23" s="24">
        <f t="shared" ref="D23" si="4">E23-Q23-E$35</f>
        <v>0</v>
      </c>
      <c r="E23" s="21">
        <v>15.9</v>
      </c>
      <c r="F23" s="24">
        <f t="shared" si="0"/>
        <v>8.9000000000000021</v>
      </c>
      <c r="G23" s="21">
        <v>14.8</v>
      </c>
      <c r="H23" s="24">
        <f t="shared" si="1"/>
        <v>8.9000000000000021</v>
      </c>
      <c r="I23" s="21">
        <v>14.8</v>
      </c>
      <c r="J23" s="24">
        <f t="shared" si="2"/>
        <v>9.7000000000000028</v>
      </c>
      <c r="K23" s="21">
        <v>15.600000000000001</v>
      </c>
      <c r="L23" s="24">
        <f t="shared" si="3"/>
        <v>39.700000000000003</v>
      </c>
      <c r="M23" s="59">
        <v>15.600000000000001</v>
      </c>
      <c r="N23" s="24">
        <f>O23-Q23-O35</f>
        <v>9.6000000000000014</v>
      </c>
      <c r="O23" s="59">
        <v>0</v>
      </c>
      <c r="P23" s="63" t="s">
        <v>50</v>
      </c>
      <c r="Q23" s="64">
        <f>C23-C35</f>
        <v>15.5</v>
      </c>
    </row>
    <row r="24" spans="1:17" x14ac:dyDescent="0.25">
      <c r="A24" s="17" t="s">
        <v>63</v>
      </c>
      <c r="B24" s="25">
        <f t="shared" ref="B24:B30" si="5">C24-Q24-C$35</f>
        <v>10.4</v>
      </c>
      <c r="C24" s="18">
        <v>24</v>
      </c>
      <c r="D24" s="9">
        <v>1344</v>
      </c>
      <c r="E24" s="18">
        <v>14</v>
      </c>
      <c r="F24" s="25">
        <f t="shared" si="0"/>
        <v>10.400000000000002</v>
      </c>
      <c r="G24" s="18">
        <v>14.4</v>
      </c>
      <c r="H24" s="25">
        <f t="shared" si="1"/>
        <v>10.800000000000002</v>
      </c>
      <c r="I24" s="18">
        <v>14.8</v>
      </c>
      <c r="J24" s="25">
        <f t="shared" si="2"/>
        <v>11.200000000000003</v>
      </c>
      <c r="K24" s="18">
        <v>15.200000000000001</v>
      </c>
      <c r="L24" s="25">
        <f t="shared" si="3"/>
        <v>41.6</v>
      </c>
      <c r="M24" s="58">
        <v>15.600000000000001</v>
      </c>
      <c r="N24" s="25">
        <f>O24-Q24-O35</f>
        <v>11.500000000000002</v>
      </c>
      <c r="O24" s="58">
        <v>0</v>
      </c>
      <c r="P24" s="63" t="s">
        <v>51</v>
      </c>
      <c r="Q24" s="64">
        <f>E24-E35</f>
        <v>13.6</v>
      </c>
    </row>
    <row r="25" spans="1:17" ht="15.75" thickBot="1" x14ac:dyDescent="0.3">
      <c r="A25" s="19" t="s">
        <v>68</v>
      </c>
      <c r="B25" s="24">
        <f t="shared" si="5"/>
        <v>10.4</v>
      </c>
      <c r="C25" s="21">
        <v>25.5</v>
      </c>
      <c r="D25" s="20">
        <f>35+301</f>
        <v>336</v>
      </c>
      <c r="E25" s="21">
        <v>15.5</v>
      </c>
      <c r="F25" s="24">
        <f t="shared" si="0"/>
        <v>10.400000000000002</v>
      </c>
      <c r="G25" s="21">
        <v>15.9</v>
      </c>
      <c r="H25" s="24">
        <f t="shared" si="1"/>
        <v>10.800000000000002</v>
      </c>
      <c r="I25" s="21">
        <v>16.3</v>
      </c>
      <c r="J25" s="24">
        <f t="shared" si="2"/>
        <v>11.200000000000001</v>
      </c>
      <c r="K25" s="21">
        <v>16.7</v>
      </c>
      <c r="L25" s="24">
        <f t="shared" si="3"/>
        <v>41.6</v>
      </c>
      <c r="M25" s="59">
        <v>17.099999999999998</v>
      </c>
      <c r="N25" s="24">
        <f>O25-Q25-O35</f>
        <v>10.000000000000002</v>
      </c>
      <c r="O25" s="59">
        <v>0</v>
      </c>
      <c r="P25" s="63" t="s">
        <v>52</v>
      </c>
      <c r="Q25" s="64">
        <f>E25-E35</f>
        <v>15.1</v>
      </c>
    </row>
    <row r="26" spans="1:17" x14ac:dyDescent="0.25">
      <c r="A26" s="17" t="s">
        <v>67</v>
      </c>
      <c r="B26" s="25">
        <f t="shared" si="5"/>
        <v>10.399999999999999</v>
      </c>
      <c r="C26" s="18">
        <v>34</v>
      </c>
      <c r="D26" s="25">
        <f t="shared" ref="D26:D31" si="6">E26-Q26-E$35</f>
        <v>-1.7763568394002505E-15</v>
      </c>
      <c r="E26" s="18">
        <v>24</v>
      </c>
      <c r="F26" s="9">
        <v>4032</v>
      </c>
      <c r="G26" s="18">
        <v>14</v>
      </c>
      <c r="H26" s="25">
        <f t="shared" si="1"/>
        <v>0.40000000000000036</v>
      </c>
      <c r="I26" s="18">
        <v>14.4</v>
      </c>
      <c r="J26" s="25">
        <f t="shared" si="2"/>
        <v>0.80000000000000071</v>
      </c>
      <c r="K26" s="18">
        <v>14.8</v>
      </c>
      <c r="L26" s="25">
        <f t="shared" si="3"/>
        <v>31.200000000000003</v>
      </c>
      <c r="M26" s="58">
        <v>15.200000000000001</v>
      </c>
      <c r="N26" s="25">
        <f>O26-Q26-O35</f>
        <v>1.5</v>
      </c>
      <c r="O26" s="58">
        <v>0</v>
      </c>
      <c r="P26" s="63" t="s">
        <v>53</v>
      </c>
      <c r="Q26" s="64">
        <f>G26-G35</f>
        <v>23.6</v>
      </c>
    </row>
    <row r="27" spans="1:17" ht="15.75" thickBot="1" x14ac:dyDescent="0.3">
      <c r="A27" s="19" t="s">
        <v>69</v>
      </c>
      <c r="B27" s="24">
        <f t="shared" si="5"/>
        <v>10.399999999999999</v>
      </c>
      <c r="C27" s="21">
        <v>35.5</v>
      </c>
      <c r="D27" s="20">
        <v>494</v>
      </c>
      <c r="E27" s="21">
        <v>25.5</v>
      </c>
      <c r="F27" s="20">
        <f>403+55</f>
        <v>458</v>
      </c>
      <c r="G27" s="21">
        <v>15.5</v>
      </c>
      <c r="H27" s="24">
        <f t="shared" si="1"/>
        <v>0.40000000000000036</v>
      </c>
      <c r="I27" s="21">
        <v>15.9</v>
      </c>
      <c r="J27" s="24">
        <f t="shared" si="2"/>
        <v>0.80000000000000071</v>
      </c>
      <c r="K27" s="21">
        <v>16.3</v>
      </c>
      <c r="L27" s="24">
        <f t="shared" si="3"/>
        <v>31.2</v>
      </c>
      <c r="M27" s="59">
        <v>16.7</v>
      </c>
      <c r="N27" s="27">
        <f>605-55-494</f>
        <v>56</v>
      </c>
      <c r="O27" s="59">
        <v>0</v>
      </c>
      <c r="P27" s="63" t="s">
        <v>54</v>
      </c>
      <c r="Q27" s="64">
        <f>E27-E35</f>
        <v>25.1</v>
      </c>
    </row>
    <row r="28" spans="1:17" x14ac:dyDescent="0.25">
      <c r="A28" s="17" t="s">
        <v>64</v>
      </c>
      <c r="B28" s="25">
        <f t="shared" si="5"/>
        <v>20.399999999999999</v>
      </c>
      <c r="C28" s="18">
        <v>44</v>
      </c>
      <c r="D28" s="25">
        <f t="shared" si="6"/>
        <v>9.9999999999999982</v>
      </c>
      <c r="E28" s="18">
        <v>34</v>
      </c>
      <c r="F28" s="25">
        <f>G28-Q28-G$35</f>
        <v>10</v>
      </c>
      <c r="G28" s="18">
        <v>24</v>
      </c>
      <c r="H28" s="9">
        <f>4073+55+288</f>
        <v>4416</v>
      </c>
      <c r="I28" s="18">
        <v>14</v>
      </c>
      <c r="J28" s="25">
        <f>K28-Q28-K35</f>
        <v>0.40000000000000036</v>
      </c>
      <c r="K28" s="18">
        <v>14.4</v>
      </c>
      <c r="L28" s="25">
        <f t="shared" si="3"/>
        <v>30.8</v>
      </c>
      <c r="M28" s="58">
        <v>14.8</v>
      </c>
      <c r="N28" s="25">
        <f>O28-Q28-O35</f>
        <v>1.5</v>
      </c>
      <c r="O28" s="58">
        <v>0</v>
      </c>
      <c r="P28" s="63" t="s">
        <v>49</v>
      </c>
      <c r="Q28" s="64">
        <f>I28-I35</f>
        <v>23.6</v>
      </c>
    </row>
    <row r="29" spans="1:17" ht="15.75" thickBot="1" x14ac:dyDescent="0.3">
      <c r="A29" s="19" t="s">
        <v>70</v>
      </c>
      <c r="B29" s="24">
        <f t="shared" si="5"/>
        <v>20.399999999999999</v>
      </c>
      <c r="C29" s="21">
        <v>45.5</v>
      </c>
      <c r="D29" s="24">
        <f t="shared" si="6"/>
        <v>9.9999999999999982</v>
      </c>
      <c r="E29" s="21">
        <v>35.5</v>
      </c>
      <c r="F29" s="24">
        <f t="shared" ref="F29:F33" si="7">G29-Q29-G$35</f>
        <v>10</v>
      </c>
      <c r="G29" s="21">
        <v>25.5</v>
      </c>
      <c r="H29" s="20">
        <f>1104-55-288</f>
        <v>761</v>
      </c>
      <c r="I29" s="21">
        <v>15.5</v>
      </c>
      <c r="J29" s="24">
        <f>K29-Q29-K35</f>
        <v>0.40000000000000036</v>
      </c>
      <c r="K29" s="21">
        <v>15.9</v>
      </c>
      <c r="L29" s="24">
        <f t="shared" si="3"/>
        <v>30.8</v>
      </c>
      <c r="M29" s="59">
        <v>16.3</v>
      </c>
      <c r="N29" s="20">
        <f>55+288</f>
        <v>343</v>
      </c>
      <c r="O29" s="59">
        <v>0</v>
      </c>
      <c r="P29" s="63" t="s">
        <v>55</v>
      </c>
      <c r="Q29" s="64">
        <f>O29-O35</f>
        <v>25.1</v>
      </c>
    </row>
    <row r="30" spans="1:17" x14ac:dyDescent="0.25">
      <c r="A30" s="17" t="s">
        <v>65</v>
      </c>
      <c r="B30" s="25">
        <f t="shared" si="5"/>
        <v>30.4</v>
      </c>
      <c r="C30" s="18">
        <v>54</v>
      </c>
      <c r="D30" s="25">
        <f t="shared" si="6"/>
        <v>20</v>
      </c>
      <c r="E30" s="18">
        <v>44</v>
      </c>
      <c r="F30" s="25">
        <f t="shared" si="7"/>
        <v>20</v>
      </c>
      <c r="G30" s="18">
        <v>34</v>
      </c>
      <c r="H30" s="25">
        <f>I30-Q30-I$35</f>
        <v>10</v>
      </c>
      <c r="I30" s="18">
        <v>24</v>
      </c>
      <c r="J30" s="9">
        <f>3243+55+288+411+35</f>
        <v>4032</v>
      </c>
      <c r="K30" s="18">
        <v>14</v>
      </c>
      <c r="L30" s="25">
        <f>M30-Q30-M35</f>
        <v>30.4</v>
      </c>
      <c r="M30" s="58">
        <v>14.4</v>
      </c>
      <c r="N30" s="25">
        <f>O30-Q30-O$35</f>
        <v>1.5</v>
      </c>
      <c r="O30" s="58">
        <v>0</v>
      </c>
      <c r="P30" s="63" t="s">
        <v>56</v>
      </c>
      <c r="Q30" s="64">
        <f>K30-K35</f>
        <v>23.6</v>
      </c>
    </row>
    <row r="31" spans="1:17" ht="15.75" thickBot="1" x14ac:dyDescent="0.3">
      <c r="A31" s="19" t="s">
        <v>71</v>
      </c>
      <c r="B31" s="24">
        <f>C31-Q31-C$35</f>
        <v>30.4</v>
      </c>
      <c r="C31" s="21">
        <v>55.5</v>
      </c>
      <c r="D31" s="24">
        <f t="shared" si="6"/>
        <v>20</v>
      </c>
      <c r="E31" s="21">
        <v>45.5</v>
      </c>
      <c r="F31" s="24">
        <f t="shared" si="7"/>
        <v>20</v>
      </c>
      <c r="G31" s="21">
        <v>35.5</v>
      </c>
      <c r="H31" s="24">
        <f t="shared" ref="H31:H33" si="8">I31-Q31-I$35</f>
        <v>10</v>
      </c>
      <c r="I31" s="21">
        <v>25.5</v>
      </c>
      <c r="J31" s="20">
        <f>1008-411-35</f>
        <v>562</v>
      </c>
      <c r="K31" s="21">
        <v>15.5</v>
      </c>
      <c r="L31" s="24">
        <f>M31-Q31-M35</f>
        <v>30.4</v>
      </c>
      <c r="M31" s="59">
        <v>15.9</v>
      </c>
      <c r="N31" s="20">
        <f>411+35</f>
        <v>446</v>
      </c>
      <c r="O31" s="59">
        <v>0</v>
      </c>
      <c r="P31" s="63" t="s">
        <v>57</v>
      </c>
      <c r="Q31" s="64">
        <f>O31-O35</f>
        <v>25.1</v>
      </c>
    </row>
    <row r="32" spans="1:17" x14ac:dyDescent="0.25">
      <c r="A32" s="17" t="s">
        <v>66</v>
      </c>
      <c r="B32" s="50">
        <f>C32-Q32-C35</f>
        <v>10.399999999999999</v>
      </c>
      <c r="C32" s="49">
        <v>64</v>
      </c>
      <c r="D32" s="48">
        <f>1181-35-301-165-494</f>
        <v>186</v>
      </c>
      <c r="E32" s="49">
        <v>54</v>
      </c>
      <c r="F32" s="50">
        <f t="shared" si="7"/>
        <v>0</v>
      </c>
      <c r="G32" s="49">
        <v>44</v>
      </c>
      <c r="H32" s="50">
        <f t="shared" si="8"/>
        <v>-10</v>
      </c>
      <c r="I32" s="49">
        <v>34</v>
      </c>
      <c r="J32" s="50">
        <f>K32-Q32-I35</f>
        <v>-20</v>
      </c>
      <c r="K32" s="49">
        <v>24</v>
      </c>
      <c r="L32" s="48">
        <f>1905+55+288+411+35+301+165+494</f>
        <v>3654</v>
      </c>
      <c r="M32" s="60">
        <v>14</v>
      </c>
      <c r="N32" s="72">
        <f t="shared" ref="N32" si="9">O32-Q32-O$35</f>
        <v>-28.5</v>
      </c>
      <c r="O32" s="60">
        <v>0</v>
      </c>
      <c r="P32" s="63" t="s">
        <v>58</v>
      </c>
      <c r="Q32" s="64">
        <f>E32-E35</f>
        <v>53.6</v>
      </c>
    </row>
    <row r="33" spans="1:17" ht="15.75" thickBot="1" x14ac:dyDescent="0.3">
      <c r="A33" s="19" t="s">
        <v>72</v>
      </c>
      <c r="B33" s="24">
        <f>C33-Q33-C35</f>
        <v>40.4</v>
      </c>
      <c r="C33" s="21">
        <v>65.5</v>
      </c>
      <c r="D33" s="24">
        <f>E33-Q33-E35</f>
        <v>30</v>
      </c>
      <c r="E33" s="21">
        <v>55.5</v>
      </c>
      <c r="F33" s="24">
        <f t="shared" si="7"/>
        <v>30</v>
      </c>
      <c r="G33" s="21">
        <v>45.5</v>
      </c>
      <c r="H33" s="24">
        <f t="shared" si="8"/>
        <v>20</v>
      </c>
      <c r="I33" s="21">
        <v>35.5</v>
      </c>
      <c r="J33" s="24">
        <f>K33-Q33-K35</f>
        <v>10</v>
      </c>
      <c r="K33" s="21">
        <v>25.5</v>
      </c>
      <c r="L33" s="24">
        <f>M33-Q33-M35</f>
        <v>30</v>
      </c>
      <c r="M33" s="59">
        <v>15.5</v>
      </c>
      <c r="N33" s="20">
        <f>301+165+494</f>
        <v>960</v>
      </c>
      <c r="O33" s="59">
        <v>0</v>
      </c>
      <c r="P33" s="65" t="s">
        <v>59</v>
      </c>
      <c r="Q33" s="66">
        <f>O33-O35</f>
        <v>25.1</v>
      </c>
    </row>
    <row r="34" spans="1:17" ht="15.75" thickBot="1" x14ac:dyDescent="0.3"/>
    <row r="35" spans="1:17" ht="15.75" thickBot="1" x14ac:dyDescent="0.3">
      <c r="B35" s="67" t="s">
        <v>40</v>
      </c>
      <c r="C35" s="68">
        <f>C21-Q21</f>
        <v>0</v>
      </c>
      <c r="D35" s="69" t="s">
        <v>41</v>
      </c>
      <c r="E35" s="68">
        <f>E22-Q22</f>
        <v>0.40000000000000036</v>
      </c>
      <c r="F35" s="69" t="s">
        <v>42</v>
      </c>
      <c r="G35" s="68">
        <f>G27-Q27</f>
        <v>-9.6000000000000014</v>
      </c>
      <c r="H35" s="69" t="s">
        <v>43</v>
      </c>
      <c r="I35" s="68">
        <f>I29-Q29</f>
        <v>-9.6000000000000014</v>
      </c>
      <c r="J35" s="69" t="s">
        <v>44</v>
      </c>
      <c r="K35" s="68">
        <f>K31-Q31</f>
        <v>-9.6000000000000014</v>
      </c>
      <c r="L35" s="69" t="s">
        <v>45</v>
      </c>
      <c r="M35" s="68">
        <f>M32-Q32</f>
        <v>-39.6</v>
      </c>
      <c r="N35" s="69" t="s">
        <v>46</v>
      </c>
      <c r="O35" s="70">
        <f>O27-Q27</f>
        <v>-25.1</v>
      </c>
    </row>
    <row r="38" spans="1:17" ht="15.75" thickBot="1" x14ac:dyDescent="0.3"/>
    <row r="39" spans="1:17" ht="19.5" thickBot="1" x14ac:dyDescent="0.35">
      <c r="H39" s="126" t="s">
        <v>39</v>
      </c>
      <c r="I39" s="125">
        <f>SUM(B21*C21+B22*C22+B23*C23+D24*E24+D32*E32+F26*G26+F27*G27+H28*I28+H29*I29+J30*K30+J31*K31+D27*E27+L32*M32+D25*E25+N31*O31+N29*O29+N27*O27+N33*O33+D22*E22)</f>
        <v>361988.5</v>
      </c>
    </row>
  </sheetData>
  <mergeCells count="8">
    <mergeCell ref="B19:O19"/>
    <mergeCell ref="N20:O20"/>
    <mergeCell ref="B20:C20"/>
    <mergeCell ref="D20:E20"/>
    <mergeCell ref="F20:G20"/>
    <mergeCell ref="H20:I20"/>
    <mergeCell ref="J20:K20"/>
    <mergeCell ref="L20:M2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Q39"/>
  <sheetViews>
    <sheetView topLeftCell="A13" zoomScale="75" zoomScaleNormal="75" workbookViewId="0">
      <selection activeCell="A19" sqref="A19:Q39"/>
    </sheetView>
  </sheetViews>
  <sheetFormatPr baseColWidth="10" defaultRowHeight="15" x14ac:dyDescent="0.25"/>
  <cols>
    <col min="9" max="9" width="18" bestFit="1" customWidth="1"/>
  </cols>
  <sheetData>
    <row r="18" spans="1:17" ht="15.75" thickBot="1" x14ac:dyDescent="0.3"/>
    <row r="19" spans="1:17" ht="15.75" thickBot="1" x14ac:dyDescent="0.3">
      <c r="A19" s="52"/>
      <c r="B19" s="138" t="s">
        <v>35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39"/>
    </row>
    <row r="20" spans="1:17" ht="15.75" thickBot="1" x14ac:dyDescent="0.3">
      <c r="A20" s="13" t="s">
        <v>36</v>
      </c>
      <c r="B20" s="153" t="s">
        <v>0</v>
      </c>
      <c r="C20" s="155"/>
      <c r="D20" s="153" t="s">
        <v>2</v>
      </c>
      <c r="E20" s="155"/>
      <c r="F20" s="153" t="s">
        <v>4</v>
      </c>
      <c r="G20" s="155"/>
      <c r="H20" s="153" t="s">
        <v>6</v>
      </c>
      <c r="I20" s="155"/>
      <c r="J20" s="153" t="s">
        <v>8</v>
      </c>
      <c r="K20" s="155"/>
      <c r="L20" s="153" t="s">
        <v>10</v>
      </c>
      <c r="M20" s="155"/>
      <c r="N20" s="153" t="s">
        <v>13</v>
      </c>
      <c r="O20" s="155"/>
    </row>
    <row r="21" spans="1:17" ht="15.75" thickBot="1" x14ac:dyDescent="0.3">
      <c r="A21" s="14" t="s">
        <v>12</v>
      </c>
      <c r="B21" s="15">
        <v>150</v>
      </c>
      <c r="C21" s="16">
        <f>-Q21</f>
        <v>0</v>
      </c>
      <c r="D21" s="26">
        <f>E21-Q21-E$35</f>
        <v>0</v>
      </c>
      <c r="E21" s="16">
        <v>0.4</v>
      </c>
      <c r="F21" s="26">
        <f>G21-Q21-G$35</f>
        <v>10.400000000000002</v>
      </c>
      <c r="G21" s="16">
        <v>0.8</v>
      </c>
      <c r="H21" s="26">
        <f>I21-Q21-I$35</f>
        <v>39.300000000000004</v>
      </c>
      <c r="I21" s="16">
        <v>1.2000000000000002</v>
      </c>
      <c r="J21" s="26">
        <f>K21-Q21-K$35</f>
        <v>39.700000000000003</v>
      </c>
      <c r="K21" s="16">
        <v>1.6</v>
      </c>
      <c r="L21" s="26">
        <f>M21-Q21-M$35</f>
        <v>41.6</v>
      </c>
      <c r="M21" s="16">
        <v>2</v>
      </c>
      <c r="N21" s="26">
        <f>O21-Q21-O35</f>
        <v>53.6</v>
      </c>
      <c r="O21" s="16">
        <v>0</v>
      </c>
      <c r="P21" s="61" t="s">
        <v>47</v>
      </c>
      <c r="Q21" s="62">
        <v>0</v>
      </c>
    </row>
    <row r="22" spans="1:17" x14ac:dyDescent="0.25">
      <c r="A22" s="17" t="s">
        <v>61</v>
      </c>
      <c r="B22" s="9">
        <f>3456-165</f>
        <v>3291</v>
      </c>
      <c r="C22" s="18">
        <v>14</v>
      </c>
      <c r="D22" s="9">
        <v>165</v>
      </c>
      <c r="E22" s="18">
        <v>14.4</v>
      </c>
      <c r="F22" s="25">
        <f t="shared" ref="F22:F25" si="0">G22-Q22-G$35</f>
        <v>10.400000000000002</v>
      </c>
      <c r="G22" s="18">
        <v>14.8</v>
      </c>
      <c r="H22" s="25">
        <f t="shared" ref="H22:H27" si="1">I22-Q22-I$35</f>
        <v>39.300000000000004</v>
      </c>
      <c r="I22" s="18">
        <v>15.200000000000001</v>
      </c>
      <c r="J22" s="25">
        <f t="shared" ref="J22:J27" si="2">K22-Q22-K$35</f>
        <v>39.700000000000003</v>
      </c>
      <c r="K22" s="18">
        <v>15.600000000000001</v>
      </c>
      <c r="L22" s="25">
        <f t="shared" ref="L22:L29" si="3">M22-Q22-M$35</f>
        <v>41.6</v>
      </c>
      <c r="M22" s="18">
        <v>16</v>
      </c>
      <c r="N22" s="25">
        <f>O22-Q22-O35</f>
        <v>39.6</v>
      </c>
      <c r="O22" s="18">
        <v>0</v>
      </c>
      <c r="P22" s="63" t="s">
        <v>48</v>
      </c>
      <c r="Q22" s="64">
        <f>C22-C35</f>
        <v>14</v>
      </c>
    </row>
    <row r="23" spans="1:17" ht="15.75" thickBot="1" x14ac:dyDescent="0.3">
      <c r="A23" s="19" t="s">
        <v>62</v>
      </c>
      <c r="B23" s="20">
        <f>288+411+165</f>
        <v>864</v>
      </c>
      <c r="C23" s="21">
        <v>15.5</v>
      </c>
      <c r="D23" s="24">
        <f t="shared" ref="D23" si="4">E23-Q23-E$35</f>
        <v>0</v>
      </c>
      <c r="E23" s="21">
        <v>15.9</v>
      </c>
      <c r="F23" s="24">
        <f t="shared" si="0"/>
        <v>8.9000000000000021</v>
      </c>
      <c r="G23" s="21">
        <v>14.8</v>
      </c>
      <c r="H23" s="24">
        <f t="shared" si="1"/>
        <v>37.400000000000006</v>
      </c>
      <c r="I23" s="21">
        <v>14.8</v>
      </c>
      <c r="J23" s="24">
        <f t="shared" si="2"/>
        <v>38.200000000000003</v>
      </c>
      <c r="K23" s="21">
        <v>15.600000000000001</v>
      </c>
      <c r="L23" s="24">
        <f t="shared" si="3"/>
        <v>39.700000000000003</v>
      </c>
      <c r="M23" s="21">
        <v>15.600000000000001</v>
      </c>
      <c r="N23" s="24">
        <f>O23-Q23-O35</f>
        <v>38.1</v>
      </c>
      <c r="O23" s="21">
        <v>0</v>
      </c>
      <c r="P23" s="63" t="s">
        <v>50</v>
      </c>
      <c r="Q23" s="64">
        <f>C23-C35</f>
        <v>15.5</v>
      </c>
    </row>
    <row r="24" spans="1:17" x14ac:dyDescent="0.25">
      <c r="A24" s="17" t="s">
        <v>63</v>
      </c>
      <c r="B24" s="25">
        <f t="shared" ref="B24:B30" si="5">C24-Q24-C$35</f>
        <v>10.4</v>
      </c>
      <c r="C24" s="18">
        <v>24</v>
      </c>
      <c r="D24" s="9">
        <v>1344</v>
      </c>
      <c r="E24" s="18">
        <v>14</v>
      </c>
      <c r="F24" s="25">
        <f t="shared" si="0"/>
        <v>10.400000000000002</v>
      </c>
      <c r="G24" s="18">
        <v>14.4</v>
      </c>
      <c r="H24" s="25">
        <f t="shared" si="1"/>
        <v>39.300000000000004</v>
      </c>
      <c r="I24" s="18">
        <v>14.8</v>
      </c>
      <c r="J24" s="25">
        <f t="shared" si="2"/>
        <v>39.700000000000003</v>
      </c>
      <c r="K24" s="18">
        <v>15.200000000000001</v>
      </c>
      <c r="L24" s="25">
        <f t="shared" si="3"/>
        <v>41.6</v>
      </c>
      <c r="M24" s="18">
        <v>15.600000000000001</v>
      </c>
      <c r="N24" s="25">
        <f>O24-Q24-O35</f>
        <v>40</v>
      </c>
      <c r="O24" s="18">
        <v>0</v>
      </c>
      <c r="P24" s="63" t="s">
        <v>51</v>
      </c>
      <c r="Q24" s="64">
        <f>E24-E35</f>
        <v>13.6</v>
      </c>
    </row>
    <row r="25" spans="1:17" ht="15.75" thickBot="1" x14ac:dyDescent="0.3">
      <c r="A25" s="19" t="s">
        <v>68</v>
      </c>
      <c r="B25" s="24">
        <f t="shared" si="5"/>
        <v>10.4</v>
      </c>
      <c r="C25" s="21">
        <v>25.5</v>
      </c>
      <c r="D25" s="20">
        <f>35+301</f>
        <v>336</v>
      </c>
      <c r="E25" s="21">
        <v>15.5</v>
      </c>
      <c r="F25" s="24">
        <f t="shared" si="0"/>
        <v>10.400000000000002</v>
      </c>
      <c r="G25" s="21">
        <v>15.9</v>
      </c>
      <c r="H25" s="24">
        <f t="shared" si="1"/>
        <v>39.300000000000004</v>
      </c>
      <c r="I25" s="21">
        <v>16.3</v>
      </c>
      <c r="J25" s="24">
        <f t="shared" si="2"/>
        <v>39.700000000000003</v>
      </c>
      <c r="K25" s="21">
        <v>16.7</v>
      </c>
      <c r="L25" s="24">
        <f t="shared" si="3"/>
        <v>41.6</v>
      </c>
      <c r="M25" s="21">
        <v>17.099999999999998</v>
      </c>
      <c r="N25" s="24">
        <f>O25-Q25-O35</f>
        <v>38.5</v>
      </c>
      <c r="O25" s="21">
        <v>0</v>
      </c>
      <c r="P25" s="63" t="s">
        <v>52</v>
      </c>
      <c r="Q25" s="64">
        <f>E25-E35</f>
        <v>15.1</v>
      </c>
    </row>
    <row r="26" spans="1:17" x14ac:dyDescent="0.25">
      <c r="A26" s="17" t="s">
        <v>67</v>
      </c>
      <c r="B26" s="25">
        <f t="shared" si="5"/>
        <v>10.399999999999999</v>
      </c>
      <c r="C26" s="18">
        <v>34</v>
      </c>
      <c r="D26" s="25">
        <f t="shared" ref="D26:D31" si="6">E26-Q26-E$35</f>
        <v>-1.7763568394002505E-15</v>
      </c>
      <c r="E26" s="18">
        <v>24</v>
      </c>
      <c r="F26" s="9">
        <v>4032</v>
      </c>
      <c r="G26" s="18">
        <v>14</v>
      </c>
      <c r="H26" s="25">
        <f t="shared" si="1"/>
        <v>28.9</v>
      </c>
      <c r="I26" s="18">
        <v>14.4</v>
      </c>
      <c r="J26" s="25">
        <f t="shared" si="2"/>
        <v>29.3</v>
      </c>
      <c r="K26" s="18">
        <v>14.8</v>
      </c>
      <c r="L26" s="25">
        <f t="shared" si="3"/>
        <v>31.200000000000003</v>
      </c>
      <c r="M26" s="18">
        <v>15.200000000000001</v>
      </c>
      <c r="N26" s="25">
        <f>O26-Q26-O35</f>
        <v>30</v>
      </c>
      <c r="O26" s="18">
        <v>0</v>
      </c>
      <c r="P26" s="63" t="s">
        <v>53</v>
      </c>
      <c r="Q26" s="64">
        <f>G26-G35</f>
        <v>23.6</v>
      </c>
    </row>
    <row r="27" spans="1:17" ht="15.75" thickBot="1" x14ac:dyDescent="0.3">
      <c r="A27" s="19" t="s">
        <v>69</v>
      </c>
      <c r="B27" s="24">
        <f t="shared" si="5"/>
        <v>10.399999999999999</v>
      </c>
      <c r="C27" s="21">
        <v>35.5</v>
      </c>
      <c r="D27" s="20">
        <f>494+56</f>
        <v>550</v>
      </c>
      <c r="E27" s="21">
        <v>25.5</v>
      </c>
      <c r="F27" s="20">
        <f>403+55</f>
        <v>458</v>
      </c>
      <c r="G27" s="21">
        <v>15.5</v>
      </c>
      <c r="H27" s="24">
        <f t="shared" si="1"/>
        <v>28.9</v>
      </c>
      <c r="I27" s="21">
        <v>15.9</v>
      </c>
      <c r="J27" s="24">
        <f t="shared" si="2"/>
        <v>29.3</v>
      </c>
      <c r="K27" s="21">
        <v>16.3</v>
      </c>
      <c r="L27" s="24">
        <f t="shared" si="3"/>
        <v>31.2</v>
      </c>
      <c r="M27" s="21">
        <v>16.7</v>
      </c>
      <c r="N27" s="24">
        <f>O27-Q27-O35</f>
        <v>28.5</v>
      </c>
      <c r="O27" s="21">
        <v>0</v>
      </c>
      <c r="P27" s="63" t="s">
        <v>54</v>
      </c>
      <c r="Q27" s="64">
        <f>E27-E35</f>
        <v>25.1</v>
      </c>
    </row>
    <row r="28" spans="1:17" x14ac:dyDescent="0.25">
      <c r="A28" s="17" t="s">
        <v>64</v>
      </c>
      <c r="B28" s="25">
        <f t="shared" si="5"/>
        <v>-8.1000000000000014</v>
      </c>
      <c r="C28" s="18">
        <v>44</v>
      </c>
      <c r="D28" s="25">
        <f t="shared" si="6"/>
        <v>-18.5</v>
      </c>
      <c r="E28" s="18">
        <v>34</v>
      </c>
      <c r="F28" s="25">
        <f>G28-Q28-G$35</f>
        <v>-18.5</v>
      </c>
      <c r="G28" s="18">
        <v>24</v>
      </c>
      <c r="H28" s="9">
        <f>4073+55+288</f>
        <v>4416</v>
      </c>
      <c r="I28" s="18">
        <v>14</v>
      </c>
      <c r="J28" s="25">
        <f>K28-Q28-K35</f>
        <v>0.39999999999999858</v>
      </c>
      <c r="K28" s="18">
        <v>14.4</v>
      </c>
      <c r="L28" s="25">
        <f t="shared" si="3"/>
        <v>2.3000000000000043</v>
      </c>
      <c r="M28" s="18">
        <v>14.8</v>
      </c>
      <c r="N28" s="25">
        <f>O28-Q28-O35</f>
        <v>1.5</v>
      </c>
      <c r="O28" s="18">
        <v>0</v>
      </c>
      <c r="P28" s="63" t="s">
        <v>49</v>
      </c>
      <c r="Q28" s="64">
        <f>I28-I35</f>
        <v>52.1</v>
      </c>
    </row>
    <row r="29" spans="1:17" ht="15.75" thickBot="1" x14ac:dyDescent="0.3">
      <c r="A29" s="19" t="s">
        <v>70</v>
      </c>
      <c r="B29" s="24">
        <f t="shared" si="5"/>
        <v>-8.1000000000000014</v>
      </c>
      <c r="C29" s="21">
        <v>45.5</v>
      </c>
      <c r="D29" s="28">
        <f t="shared" si="6"/>
        <v>-18.5</v>
      </c>
      <c r="E29" s="21">
        <v>35.5</v>
      </c>
      <c r="F29" s="24">
        <f t="shared" ref="F29:F33" si="7">G29-Q29-G$35</f>
        <v>-18.5</v>
      </c>
      <c r="G29" s="21">
        <v>25.5</v>
      </c>
      <c r="H29" s="20">
        <f>1104-55-288</f>
        <v>761</v>
      </c>
      <c r="I29" s="21">
        <v>15.5</v>
      </c>
      <c r="J29" s="24">
        <f>K29-Q29-K35</f>
        <v>0.39999999999999858</v>
      </c>
      <c r="K29" s="21">
        <v>15.9</v>
      </c>
      <c r="L29" s="24">
        <f t="shared" si="3"/>
        <v>2.3000000000000043</v>
      </c>
      <c r="M29" s="21">
        <v>16.3</v>
      </c>
      <c r="N29" s="20">
        <f>55+288</f>
        <v>343</v>
      </c>
      <c r="O29" s="21">
        <v>0</v>
      </c>
      <c r="P29" s="63" t="s">
        <v>55</v>
      </c>
      <c r="Q29" s="64">
        <f>O29-O35</f>
        <v>53.6</v>
      </c>
    </row>
    <row r="30" spans="1:17" x14ac:dyDescent="0.25">
      <c r="A30" s="17" t="s">
        <v>65</v>
      </c>
      <c r="B30" s="25">
        <f t="shared" si="5"/>
        <v>1.8999999999999986</v>
      </c>
      <c r="C30" s="18">
        <v>54</v>
      </c>
      <c r="D30" s="25">
        <f t="shared" si="6"/>
        <v>-8.5000000000000018</v>
      </c>
      <c r="E30" s="18">
        <v>44</v>
      </c>
      <c r="F30" s="25">
        <f t="shared" si="7"/>
        <v>-8.5</v>
      </c>
      <c r="G30" s="18">
        <v>34</v>
      </c>
      <c r="H30" s="25">
        <f>I30-Q30-I$35</f>
        <v>10</v>
      </c>
      <c r="I30" s="18">
        <v>24</v>
      </c>
      <c r="J30" s="9">
        <f>3243+55+288+411+35</f>
        <v>4032</v>
      </c>
      <c r="K30" s="18">
        <v>14</v>
      </c>
      <c r="L30" s="25">
        <f>M30-Q30-M35</f>
        <v>1.8999999999999986</v>
      </c>
      <c r="M30" s="18">
        <v>14.4</v>
      </c>
      <c r="N30" s="25">
        <f>O30-Q30-O$35</f>
        <v>1.5</v>
      </c>
      <c r="O30" s="18">
        <v>0</v>
      </c>
      <c r="P30" s="63" t="s">
        <v>56</v>
      </c>
      <c r="Q30" s="64">
        <f>K30-K35</f>
        <v>52.1</v>
      </c>
    </row>
    <row r="31" spans="1:17" ht="15.75" thickBot="1" x14ac:dyDescent="0.3">
      <c r="A31" s="19" t="s">
        <v>71</v>
      </c>
      <c r="B31" s="24">
        <f>C31-Q31-C$35</f>
        <v>1.8999999999999986</v>
      </c>
      <c r="C31" s="21">
        <v>55.5</v>
      </c>
      <c r="D31" s="24">
        <f t="shared" si="6"/>
        <v>-8.5000000000000018</v>
      </c>
      <c r="E31" s="21">
        <v>45.5</v>
      </c>
      <c r="F31" s="24">
        <f t="shared" si="7"/>
        <v>-8.5</v>
      </c>
      <c r="G31" s="21">
        <v>35.5</v>
      </c>
      <c r="H31" s="24">
        <f t="shared" ref="H31:H33" si="8">I31-Q31-I$35</f>
        <v>10</v>
      </c>
      <c r="I31" s="21">
        <v>25.5</v>
      </c>
      <c r="J31" s="20">
        <f>1008-411-35</f>
        <v>562</v>
      </c>
      <c r="K31" s="21">
        <v>15.5</v>
      </c>
      <c r="L31" s="24">
        <f>M31-Q31-M35</f>
        <v>1.8999999999999986</v>
      </c>
      <c r="M31" s="21">
        <v>15.9</v>
      </c>
      <c r="N31" s="20">
        <f>411+35</f>
        <v>446</v>
      </c>
      <c r="O31" s="21">
        <v>0</v>
      </c>
      <c r="P31" s="63" t="s">
        <v>57</v>
      </c>
      <c r="Q31" s="64">
        <f>O31-O35</f>
        <v>53.6</v>
      </c>
    </row>
    <row r="32" spans="1:17" x14ac:dyDescent="0.25">
      <c r="A32" s="17" t="s">
        <v>66</v>
      </c>
      <c r="B32" s="50">
        <f>C32-Q32-C35</f>
        <v>10.399999999999999</v>
      </c>
      <c r="C32" s="49">
        <v>64</v>
      </c>
      <c r="D32" s="90">
        <f>1181-35-301-165-494-56</f>
        <v>130</v>
      </c>
      <c r="E32" s="49">
        <v>54</v>
      </c>
      <c r="F32" s="50">
        <f t="shared" si="7"/>
        <v>0</v>
      </c>
      <c r="G32" s="49">
        <v>44</v>
      </c>
      <c r="H32" s="50">
        <f t="shared" si="8"/>
        <v>18.5</v>
      </c>
      <c r="I32" s="49">
        <v>34</v>
      </c>
      <c r="J32" s="50">
        <f>K32-Q32-I35</f>
        <v>8.5</v>
      </c>
      <c r="K32" s="49">
        <v>24</v>
      </c>
      <c r="L32" s="48">
        <f>1905+55+288+411+35+301+165+494</f>
        <v>3654</v>
      </c>
      <c r="M32" s="49">
        <v>14</v>
      </c>
      <c r="N32" s="48">
        <v>56</v>
      </c>
      <c r="O32" s="60">
        <v>0</v>
      </c>
      <c r="P32" s="63" t="s">
        <v>58</v>
      </c>
      <c r="Q32" s="64">
        <f>E32-E35</f>
        <v>53.6</v>
      </c>
    </row>
    <row r="33" spans="1:17" ht="15.75" thickBot="1" x14ac:dyDescent="0.3">
      <c r="A33" s="19" t="s">
        <v>72</v>
      </c>
      <c r="B33" s="24">
        <f>C33-Q33-C35</f>
        <v>11.899999999999999</v>
      </c>
      <c r="C33" s="21">
        <v>65.5</v>
      </c>
      <c r="D33" s="24">
        <f>E33-Q33-E35</f>
        <v>1.4999999999999982</v>
      </c>
      <c r="E33" s="21">
        <v>55.5</v>
      </c>
      <c r="F33" s="24">
        <f t="shared" si="7"/>
        <v>1.5</v>
      </c>
      <c r="G33" s="21">
        <v>45.5</v>
      </c>
      <c r="H33" s="24">
        <f t="shared" si="8"/>
        <v>20</v>
      </c>
      <c r="I33" s="21">
        <v>35.5</v>
      </c>
      <c r="J33" s="24">
        <f>K33-Q33-K35</f>
        <v>10</v>
      </c>
      <c r="K33" s="21">
        <v>25.5</v>
      </c>
      <c r="L33" s="24">
        <f>M33-Q33-M35</f>
        <v>1.5</v>
      </c>
      <c r="M33" s="21">
        <v>15.5</v>
      </c>
      <c r="N33" s="20">
        <f>301+165+494</f>
        <v>960</v>
      </c>
      <c r="O33" s="59">
        <v>0</v>
      </c>
      <c r="P33" s="65" t="s">
        <v>59</v>
      </c>
      <c r="Q33" s="66">
        <f>O33-O35</f>
        <v>53.6</v>
      </c>
    </row>
    <row r="34" spans="1:17" ht="15.75" thickBot="1" x14ac:dyDescent="0.3"/>
    <row r="35" spans="1:17" ht="15.75" thickBot="1" x14ac:dyDescent="0.3">
      <c r="B35" s="67" t="s">
        <v>40</v>
      </c>
      <c r="C35" s="68">
        <f>C21-Q21</f>
        <v>0</v>
      </c>
      <c r="D35" s="69" t="s">
        <v>41</v>
      </c>
      <c r="E35" s="68">
        <f>E22-Q22</f>
        <v>0.40000000000000036</v>
      </c>
      <c r="F35" s="69" t="s">
        <v>42</v>
      </c>
      <c r="G35" s="68">
        <f>G27-Q27</f>
        <v>-9.6000000000000014</v>
      </c>
      <c r="H35" s="69" t="s">
        <v>43</v>
      </c>
      <c r="I35" s="68">
        <f>I29-Q29</f>
        <v>-38.1</v>
      </c>
      <c r="J35" s="69" t="s">
        <v>44</v>
      </c>
      <c r="K35" s="68">
        <f>K31-Q31</f>
        <v>-38.1</v>
      </c>
      <c r="L35" s="69" t="s">
        <v>45</v>
      </c>
      <c r="M35" s="68">
        <f>M32-Q32</f>
        <v>-39.6</v>
      </c>
      <c r="N35" s="69" t="s">
        <v>46</v>
      </c>
      <c r="O35" s="70">
        <f>O32-Q32</f>
        <v>-53.6</v>
      </c>
    </row>
    <row r="38" spans="1:17" ht="15.75" thickBot="1" x14ac:dyDescent="0.3"/>
    <row r="39" spans="1:17" ht="19.5" thickBot="1" x14ac:dyDescent="0.35">
      <c r="H39" s="126" t="s">
        <v>39</v>
      </c>
      <c r="I39" s="125">
        <f>SUM(B21*C21+B22*C22+B23*C23+D24*E24+D32*E32+F26*G26+F27*G27+H28*I28+H29*I29+J30*K30+J31*K31+D27*E27+L32*M32+D25*E25+N31*O31+N29*O29+N32*O32+N33*O33+D22*E22)</f>
        <v>360392.5</v>
      </c>
    </row>
  </sheetData>
  <mergeCells count="8">
    <mergeCell ref="N20:O20"/>
    <mergeCell ref="B19:O19"/>
    <mergeCell ref="B20:C20"/>
    <mergeCell ref="D20:E20"/>
    <mergeCell ref="F20:G20"/>
    <mergeCell ref="H20:I20"/>
    <mergeCell ref="J20:K20"/>
    <mergeCell ref="L20:M2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Q65"/>
  <sheetViews>
    <sheetView topLeftCell="A31" zoomScale="75" zoomScaleNormal="75" workbookViewId="0">
      <selection activeCell="L54" sqref="L54"/>
    </sheetView>
  </sheetViews>
  <sheetFormatPr baseColWidth="10" defaultRowHeight="15" x14ac:dyDescent="0.25"/>
  <cols>
    <col min="1" max="1" width="14.7109375" customWidth="1"/>
    <col min="9" max="9" width="14.28515625" bestFit="1" customWidth="1"/>
  </cols>
  <sheetData>
    <row r="18" spans="1:17" ht="15.75" thickBot="1" x14ac:dyDescent="0.3"/>
    <row r="19" spans="1:17" ht="15.75" thickBot="1" x14ac:dyDescent="0.3">
      <c r="A19" s="40"/>
      <c r="B19" s="140" t="s">
        <v>35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39"/>
    </row>
    <row r="20" spans="1:17" ht="15.75" thickBot="1" x14ac:dyDescent="0.3">
      <c r="A20" s="13" t="s">
        <v>36</v>
      </c>
      <c r="B20" s="148" t="s">
        <v>0</v>
      </c>
      <c r="C20" s="149"/>
      <c r="D20" s="148" t="s">
        <v>2</v>
      </c>
      <c r="E20" s="149"/>
      <c r="F20" s="148" t="s">
        <v>4</v>
      </c>
      <c r="G20" s="149"/>
      <c r="H20" s="148" t="s">
        <v>6</v>
      </c>
      <c r="I20" s="149"/>
      <c r="J20" s="148" t="s">
        <v>8</v>
      </c>
      <c r="K20" s="149"/>
      <c r="L20" s="148" t="s">
        <v>10</v>
      </c>
      <c r="M20" s="149"/>
      <c r="N20" s="148" t="s">
        <v>13</v>
      </c>
      <c r="O20" s="149"/>
    </row>
    <row r="21" spans="1:17" ht="15.75" thickBot="1" x14ac:dyDescent="0.3">
      <c r="A21" s="14" t="s">
        <v>12</v>
      </c>
      <c r="B21" s="15">
        <v>150</v>
      </c>
      <c r="C21" s="16">
        <f>-Q21</f>
        <v>0</v>
      </c>
      <c r="D21" s="26">
        <f>E21-Q21-E$35</f>
        <v>0</v>
      </c>
      <c r="E21" s="16">
        <v>0.4</v>
      </c>
      <c r="F21" s="26">
        <f>G21-Q21-G$35</f>
        <v>10.400000000000002</v>
      </c>
      <c r="G21" s="16">
        <v>0.8</v>
      </c>
      <c r="H21" s="26">
        <f>I21-Q21-I$35</f>
        <v>20.8</v>
      </c>
      <c r="I21" s="16">
        <v>1.2000000000000002</v>
      </c>
      <c r="J21" s="26">
        <f>K21-Q21-K$35</f>
        <v>21.200000000000003</v>
      </c>
      <c r="K21" s="16">
        <v>1.6</v>
      </c>
      <c r="L21" s="26">
        <f>M21-Q21-M$35</f>
        <v>23.1</v>
      </c>
      <c r="M21" s="16">
        <v>2</v>
      </c>
      <c r="N21" s="26">
        <f>O21-Q21-O35</f>
        <v>35.1</v>
      </c>
      <c r="O21" s="57">
        <v>0</v>
      </c>
      <c r="P21" s="61" t="s">
        <v>47</v>
      </c>
      <c r="Q21" s="62">
        <v>0</v>
      </c>
    </row>
    <row r="22" spans="1:17" x14ac:dyDescent="0.25">
      <c r="A22" s="17" t="s">
        <v>61</v>
      </c>
      <c r="B22" s="9">
        <f>3456-165</f>
        <v>3291</v>
      </c>
      <c r="C22" s="18">
        <v>14</v>
      </c>
      <c r="D22" s="9">
        <v>165</v>
      </c>
      <c r="E22" s="18">
        <v>14.4</v>
      </c>
      <c r="F22" s="25">
        <f t="shared" ref="F22:F25" si="0">G22-Q22-G$35</f>
        <v>10.400000000000002</v>
      </c>
      <c r="G22" s="18">
        <v>14.8</v>
      </c>
      <c r="H22" s="25">
        <f t="shared" ref="H22:H27" si="1">I22-Q22-I$35</f>
        <v>20.800000000000004</v>
      </c>
      <c r="I22" s="18">
        <v>15.200000000000001</v>
      </c>
      <c r="J22" s="25">
        <f t="shared" ref="J22:J27" si="2">K22-Q22-K$35</f>
        <v>21.200000000000003</v>
      </c>
      <c r="K22" s="18">
        <v>15.600000000000001</v>
      </c>
      <c r="L22" s="25">
        <f t="shared" ref="L22:L29" si="3">M22-Q22-M$35</f>
        <v>23.1</v>
      </c>
      <c r="M22" s="18">
        <v>16</v>
      </c>
      <c r="N22" s="25">
        <f>O22-Q22-O35</f>
        <v>21.1</v>
      </c>
      <c r="O22" s="58">
        <v>0</v>
      </c>
      <c r="P22" s="63" t="s">
        <v>48</v>
      </c>
      <c r="Q22" s="64">
        <f>C22-C35</f>
        <v>14</v>
      </c>
    </row>
    <row r="23" spans="1:17" ht="15.75" thickBot="1" x14ac:dyDescent="0.3">
      <c r="A23" s="19" t="s">
        <v>62</v>
      </c>
      <c r="B23" s="20">
        <f>288+411+165</f>
        <v>864</v>
      </c>
      <c r="C23" s="21">
        <v>15.5</v>
      </c>
      <c r="D23" s="24">
        <f t="shared" ref="D23" si="4">E23-Q23-E$35</f>
        <v>0</v>
      </c>
      <c r="E23" s="21">
        <v>15.9</v>
      </c>
      <c r="F23" s="24">
        <f t="shared" si="0"/>
        <v>10.400000000000002</v>
      </c>
      <c r="G23" s="21">
        <v>16.3</v>
      </c>
      <c r="H23" s="24">
        <f t="shared" si="1"/>
        <v>20.8</v>
      </c>
      <c r="I23" s="21">
        <v>16.7</v>
      </c>
      <c r="J23" s="24">
        <f t="shared" si="2"/>
        <v>21.200000000000003</v>
      </c>
      <c r="K23" s="21">
        <v>17.100000000000001</v>
      </c>
      <c r="L23" s="24">
        <f t="shared" si="3"/>
        <v>23.1</v>
      </c>
      <c r="M23" s="21">
        <v>17.5</v>
      </c>
      <c r="N23" s="24">
        <f>O23-Q23-O35</f>
        <v>19.600000000000001</v>
      </c>
      <c r="O23" s="59">
        <v>0</v>
      </c>
      <c r="P23" s="63" t="s">
        <v>50</v>
      </c>
      <c r="Q23" s="64">
        <f>C23-C35</f>
        <v>15.5</v>
      </c>
    </row>
    <row r="24" spans="1:17" x14ac:dyDescent="0.25">
      <c r="A24" s="17" t="s">
        <v>63</v>
      </c>
      <c r="B24" s="25">
        <f t="shared" ref="B24:B30" si="5">C24-Q24-C$35</f>
        <v>10.4</v>
      </c>
      <c r="C24" s="18">
        <v>24</v>
      </c>
      <c r="D24" s="9">
        <v>1344</v>
      </c>
      <c r="E24" s="18">
        <v>14</v>
      </c>
      <c r="F24" s="25">
        <f t="shared" si="0"/>
        <v>10.400000000000002</v>
      </c>
      <c r="G24" s="18">
        <v>14.4</v>
      </c>
      <c r="H24" s="25">
        <f t="shared" si="1"/>
        <v>20.800000000000004</v>
      </c>
      <c r="I24" s="18">
        <v>14.8</v>
      </c>
      <c r="J24" s="25">
        <f t="shared" si="2"/>
        <v>21.200000000000003</v>
      </c>
      <c r="K24" s="18">
        <v>15.200000000000001</v>
      </c>
      <c r="L24" s="25">
        <f t="shared" si="3"/>
        <v>23.1</v>
      </c>
      <c r="M24" s="18">
        <v>15.600000000000001</v>
      </c>
      <c r="N24" s="25">
        <f>O24-Q24-O35</f>
        <v>21.5</v>
      </c>
      <c r="O24" s="58">
        <v>0</v>
      </c>
      <c r="P24" s="63" t="s">
        <v>51</v>
      </c>
      <c r="Q24" s="64">
        <f>E24-E35</f>
        <v>13.6</v>
      </c>
    </row>
    <row r="25" spans="1:17" ht="15.75" thickBot="1" x14ac:dyDescent="0.3">
      <c r="A25" s="19" t="s">
        <v>68</v>
      </c>
      <c r="B25" s="24">
        <f t="shared" si="5"/>
        <v>10.4</v>
      </c>
      <c r="C25" s="21">
        <v>25.5</v>
      </c>
      <c r="D25" s="20">
        <f>35+301</f>
        <v>336</v>
      </c>
      <c r="E25" s="21">
        <v>15.5</v>
      </c>
      <c r="F25" s="24">
        <f t="shared" si="0"/>
        <v>10.400000000000002</v>
      </c>
      <c r="G25" s="21">
        <v>15.9</v>
      </c>
      <c r="H25" s="24">
        <f t="shared" si="1"/>
        <v>20.800000000000004</v>
      </c>
      <c r="I25" s="21">
        <v>16.3</v>
      </c>
      <c r="J25" s="24">
        <f t="shared" si="2"/>
        <v>21.200000000000003</v>
      </c>
      <c r="K25" s="21">
        <v>16.7</v>
      </c>
      <c r="L25" s="24">
        <f t="shared" si="3"/>
        <v>23.1</v>
      </c>
      <c r="M25" s="21">
        <v>17.099999999999998</v>
      </c>
      <c r="N25" s="24">
        <f>O25-Q25-O35</f>
        <v>20</v>
      </c>
      <c r="O25" s="59">
        <v>0</v>
      </c>
      <c r="P25" s="63" t="s">
        <v>52</v>
      </c>
      <c r="Q25" s="64">
        <f>E25-E35</f>
        <v>15.1</v>
      </c>
    </row>
    <row r="26" spans="1:17" x14ac:dyDescent="0.25">
      <c r="A26" s="17" t="s">
        <v>67</v>
      </c>
      <c r="B26" s="25">
        <f t="shared" si="5"/>
        <v>10.399999999999999</v>
      </c>
      <c r="C26" s="18">
        <v>34</v>
      </c>
      <c r="D26" s="51">
        <f t="shared" ref="D26:D31" si="6">E26-Q26-E$35</f>
        <v>-1.7763568394002505E-15</v>
      </c>
      <c r="E26" s="18">
        <v>24</v>
      </c>
      <c r="F26" s="9">
        <v>4032</v>
      </c>
      <c r="G26" s="18">
        <v>14</v>
      </c>
      <c r="H26" s="25">
        <f t="shared" si="1"/>
        <v>10.4</v>
      </c>
      <c r="I26" s="18">
        <v>14.4</v>
      </c>
      <c r="J26" s="25">
        <f t="shared" si="2"/>
        <v>10.8</v>
      </c>
      <c r="K26" s="18">
        <v>14.8</v>
      </c>
      <c r="L26" s="25">
        <f t="shared" si="3"/>
        <v>12.700000000000001</v>
      </c>
      <c r="M26" s="18">
        <v>15.200000000000001</v>
      </c>
      <c r="N26" s="25">
        <f>O26-Q26-O35</f>
        <v>11.5</v>
      </c>
      <c r="O26" s="58">
        <v>0</v>
      </c>
      <c r="P26" s="63" t="s">
        <v>53</v>
      </c>
      <c r="Q26" s="64">
        <f>G26-G35</f>
        <v>23.6</v>
      </c>
    </row>
    <row r="27" spans="1:17" ht="15.75" thickBot="1" x14ac:dyDescent="0.3">
      <c r="A27" s="19" t="s">
        <v>69</v>
      </c>
      <c r="B27" s="24">
        <f t="shared" si="5"/>
        <v>10.399999999999999</v>
      </c>
      <c r="C27" s="21">
        <v>35.5</v>
      </c>
      <c r="D27" s="20">
        <f>494+56</f>
        <v>550</v>
      </c>
      <c r="E27" s="21">
        <v>25.5</v>
      </c>
      <c r="F27" s="20">
        <f>403+55</f>
        <v>458</v>
      </c>
      <c r="G27" s="21">
        <v>15.5</v>
      </c>
      <c r="H27" s="24">
        <f t="shared" si="1"/>
        <v>10.4</v>
      </c>
      <c r="I27" s="21">
        <v>15.9</v>
      </c>
      <c r="J27" s="24">
        <f t="shared" si="2"/>
        <v>10.8</v>
      </c>
      <c r="K27" s="21">
        <v>16.3</v>
      </c>
      <c r="L27" s="24">
        <f t="shared" si="3"/>
        <v>12.7</v>
      </c>
      <c r="M27" s="21">
        <v>16.7</v>
      </c>
      <c r="N27" s="24">
        <f>O27-Q27-O35</f>
        <v>10</v>
      </c>
      <c r="O27" s="59">
        <v>0</v>
      </c>
      <c r="P27" s="63" t="s">
        <v>54</v>
      </c>
      <c r="Q27" s="64">
        <f>E27-E35</f>
        <v>25.1</v>
      </c>
    </row>
    <row r="28" spans="1:17" x14ac:dyDescent="0.25">
      <c r="A28" s="17" t="s">
        <v>64</v>
      </c>
      <c r="B28" s="25">
        <f t="shared" si="5"/>
        <v>10.399999999999999</v>
      </c>
      <c r="C28" s="18">
        <v>44</v>
      </c>
      <c r="D28" s="51">
        <f t="shared" si="6"/>
        <v>-1.7763568394002505E-15</v>
      </c>
      <c r="E28" s="18">
        <v>34</v>
      </c>
      <c r="F28" s="25">
        <f>G28-Q28-G$35</f>
        <v>0</v>
      </c>
      <c r="G28" s="18">
        <v>24</v>
      </c>
      <c r="H28" s="9">
        <f>4073+55+288</f>
        <v>4416</v>
      </c>
      <c r="I28" s="18">
        <v>14</v>
      </c>
      <c r="J28" s="25">
        <f>K28-Q28-K35</f>
        <v>0.39999999999999858</v>
      </c>
      <c r="K28" s="18">
        <v>14.4</v>
      </c>
      <c r="L28" s="25">
        <f t="shared" si="3"/>
        <v>2.3000000000000007</v>
      </c>
      <c r="M28" s="18">
        <v>14.8</v>
      </c>
      <c r="N28" s="25">
        <f>O28-Q28-O35</f>
        <v>1.5</v>
      </c>
      <c r="O28" s="58">
        <v>0</v>
      </c>
      <c r="P28" s="63" t="s">
        <v>49</v>
      </c>
      <c r="Q28" s="64">
        <f>I28-I35</f>
        <v>33.6</v>
      </c>
    </row>
    <row r="29" spans="1:17" ht="15.75" thickBot="1" x14ac:dyDescent="0.3">
      <c r="A29" s="19" t="s">
        <v>70</v>
      </c>
      <c r="B29" s="24">
        <f t="shared" si="5"/>
        <v>10.399999999999999</v>
      </c>
      <c r="C29" s="21">
        <v>45.5</v>
      </c>
      <c r="D29" s="20">
        <v>130</v>
      </c>
      <c r="E29" s="21">
        <v>35.5</v>
      </c>
      <c r="F29" s="24">
        <f t="shared" ref="F29:F33" si="7">G29-Q29-G$35</f>
        <v>0</v>
      </c>
      <c r="G29" s="21">
        <v>25.5</v>
      </c>
      <c r="H29" s="20">
        <f>1104-55-288</f>
        <v>761</v>
      </c>
      <c r="I29" s="21">
        <v>15.5</v>
      </c>
      <c r="J29" s="24">
        <f>K29-Q29-K35</f>
        <v>0.39999999999999858</v>
      </c>
      <c r="K29" s="21">
        <v>15.9</v>
      </c>
      <c r="L29" s="24">
        <f t="shared" si="3"/>
        <v>2.3000000000000007</v>
      </c>
      <c r="M29" s="21">
        <v>16.3</v>
      </c>
      <c r="N29" s="20">
        <f>55+288-130</f>
        <v>213</v>
      </c>
      <c r="O29" s="59">
        <v>0</v>
      </c>
      <c r="P29" s="63" t="s">
        <v>55</v>
      </c>
      <c r="Q29" s="64">
        <f>E29-E35</f>
        <v>35.1</v>
      </c>
    </row>
    <row r="30" spans="1:17" x14ac:dyDescent="0.25">
      <c r="A30" s="17" t="s">
        <v>65</v>
      </c>
      <c r="B30" s="25">
        <f t="shared" si="5"/>
        <v>20.399999999999999</v>
      </c>
      <c r="C30" s="18">
        <v>54</v>
      </c>
      <c r="D30" s="25">
        <f t="shared" si="6"/>
        <v>9.9999999999999982</v>
      </c>
      <c r="E30" s="18">
        <v>44</v>
      </c>
      <c r="F30" s="25">
        <f t="shared" si="7"/>
        <v>10</v>
      </c>
      <c r="G30" s="18">
        <v>34</v>
      </c>
      <c r="H30" s="25">
        <f>I30-Q30-I$35</f>
        <v>10</v>
      </c>
      <c r="I30" s="18">
        <v>24</v>
      </c>
      <c r="J30" s="9">
        <f>3243+55+288+411+35</f>
        <v>4032</v>
      </c>
      <c r="K30" s="18">
        <v>14</v>
      </c>
      <c r="L30" s="25">
        <f>M30-Q30-M35</f>
        <v>1.8999999999999986</v>
      </c>
      <c r="M30" s="18">
        <v>14.4</v>
      </c>
      <c r="N30" s="25">
        <f>O30-Q30-O$35</f>
        <v>1.5</v>
      </c>
      <c r="O30" s="58">
        <v>0</v>
      </c>
      <c r="P30" s="63" t="s">
        <v>56</v>
      </c>
      <c r="Q30" s="64">
        <f>K30-K35</f>
        <v>33.6</v>
      </c>
    </row>
    <row r="31" spans="1:17" ht="15.75" thickBot="1" x14ac:dyDescent="0.3">
      <c r="A31" s="19" t="s">
        <v>71</v>
      </c>
      <c r="B31" s="24">
        <f>C31-Q31-C$35</f>
        <v>20.399999999999999</v>
      </c>
      <c r="C31" s="21">
        <v>55.5</v>
      </c>
      <c r="D31" s="24">
        <f t="shared" si="6"/>
        <v>9.9999999999999982</v>
      </c>
      <c r="E31" s="21">
        <v>45.5</v>
      </c>
      <c r="F31" s="24">
        <f t="shared" si="7"/>
        <v>10</v>
      </c>
      <c r="G31" s="21">
        <v>35.5</v>
      </c>
      <c r="H31" s="24">
        <f t="shared" ref="H31:H33" si="8">I31-Q31-I$35</f>
        <v>10</v>
      </c>
      <c r="I31" s="21">
        <v>25.5</v>
      </c>
      <c r="J31" s="20">
        <f>1008-411-35</f>
        <v>562</v>
      </c>
      <c r="K31" s="21">
        <v>15.5</v>
      </c>
      <c r="L31" s="24">
        <f>M31-Q31-M35</f>
        <v>1.8999999999999986</v>
      </c>
      <c r="M31" s="21">
        <v>15.9</v>
      </c>
      <c r="N31" s="20">
        <f>411+35</f>
        <v>446</v>
      </c>
      <c r="O31" s="59">
        <v>0</v>
      </c>
      <c r="P31" s="63" t="s">
        <v>57</v>
      </c>
      <c r="Q31" s="64">
        <f>O31-O35</f>
        <v>35.1</v>
      </c>
    </row>
    <row r="32" spans="1:17" x14ac:dyDescent="0.25">
      <c r="A32" s="17" t="s">
        <v>66</v>
      </c>
      <c r="B32" s="50">
        <f>C32-Q32-C35</f>
        <v>28.9</v>
      </c>
      <c r="C32" s="49">
        <v>64</v>
      </c>
      <c r="D32" s="50">
        <f>E32-Q32-E35</f>
        <v>18.5</v>
      </c>
      <c r="E32" s="49">
        <v>54</v>
      </c>
      <c r="F32" s="50">
        <f t="shared" si="7"/>
        <v>18.5</v>
      </c>
      <c r="G32" s="49">
        <v>44</v>
      </c>
      <c r="H32" s="50">
        <f t="shared" si="8"/>
        <v>18.5</v>
      </c>
      <c r="I32" s="49">
        <v>34</v>
      </c>
      <c r="J32" s="50">
        <f>K32-Q32-I35</f>
        <v>8.5</v>
      </c>
      <c r="K32" s="49">
        <v>24</v>
      </c>
      <c r="L32" s="48">
        <f>1905+55+288+411+35+301+165+494</f>
        <v>3654</v>
      </c>
      <c r="M32" s="49">
        <v>14</v>
      </c>
      <c r="N32" s="48">
        <f>56+130</f>
        <v>186</v>
      </c>
      <c r="O32" s="60">
        <v>0</v>
      </c>
      <c r="P32" s="63" t="s">
        <v>58</v>
      </c>
      <c r="Q32" s="64">
        <f>O32-O35</f>
        <v>35.1</v>
      </c>
    </row>
    <row r="33" spans="1:17" ht="15.75" thickBot="1" x14ac:dyDescent="0.3">
      <c r="A33" s="19" t="s">
        <v>72</v>
      </c>
      <c r="B33" s="24">
        <f>C33-Q33-C35</f>
        <v>30.4</v>
      </c>
      <c r="C33" s="21">
        <v>65.5</v>
      </c>
      <c r="D33" s="24">
        <f>E33-Q33-E35</f>
        <v>20</v>
      </c>
      <c r="E33" s="21">
        <v>55.5</v>
      </c>
      <c r="F33" s="24">
        <f t="shared" si="7"/>
        <v>20</v>
      </c>
      <c r="G33" s="21">
        <v>45.5</v>
      </c>
      <c r="H33" s="24">
        <f t="shared" si="8"/>
        <v>20</v>
      </c>
      <c r="I33" s="21">
        <v>35.5</v>
      </c>
      <c r="J33" s="24">
        <f>K33-Q33-K35</f>
        <v>10</v>
      </c>
      <c r="K33" s="21">
        <v>25.5</v>
      </c>
      <c r="L33" s="24">
        <f>M33-Q33-M35</f>
        <v>1.5</v>
      </c>
      <c r="M33" s="21">
        <v>15.5</v>
      </c>
      <c r="N33" s="20">
        <f>301+165+494</f>
        <v>960</v>
      </c>
      <c r="O33" s="59">
        <v>0</v>
      </c>
      <c r="P33" s="65" t="s">
        <v>59</v>
      </c>
      <c r="Q33" s="66">
        <f>O33-O35</f>
        <v>35.1</v>
      </c>
    </row>
    <row r="34" spans="1:17" ht="15.75" thickBot="1" x14ac:dyDescent="0.3"/>
    <row r="35" spans="1:17" ht="15.75" thickBot="1" x14ac:dyDescent="0.3">
      <c r="B35" s="67" t="s">
        <v>40</v>
      </c>
      <c r="C35" s="68">
        <f>C21-Q21</f>
        <v>0</v>
      </c>
      <c r="D35" s="69" t="s">
        <v>41</v>
      </c>
      <c r="E35" s="68">
        <f>E22-Q22</f>
        <v>0.40000000000000036</v>
      </c>
      <c r="F35" s="69" t="s">
        <v>42</v>
      </c>
      <c r="G35" s="68">
        <f>G27-Q27</f>
        <v>-9.6000000000000014</v>
      </c>
      <c r="H35" s="69" t="s">
        <v>43</v>
      </c>
      <c r="I35" s="68">
        <f>I29-Q29</f>
        <v>-19.600000000000001</v>
      </c>
      <c r="J35" s="69" t="s">
        <v>44</v>
      </c>
      <c r="K35" s="68">
        <f>K31-Q31</f>
        <v>-19.600000000000001</v>
      </c>
      <c r="L35" s="69" t="s">
        <v>45</v>
      </c>
      <c r="M35" s="68">
        <f>M32-Q32</f>
        <v>-21.1</v>
      </c>
      <c r="N35" s="69" t="s">
        <v>46</v>
      </c>
      <c r="O35" s="70">
        <f>O29-Q29</f>
        <v>-35.1</v>
      </c>
    </row>
    <row r="45" spans="1:17" ht="15.75" thickBot="1" x14ac:dyDescent="0.3"/>
    <row r="46" spans="1:17" ht="15.75" thickBot="1" x14ac:dyDescent="0.3">
      <c r="B46" s="112" t="s">
        <v>0</v>
      </c>
      <c r="C46" s="112" t="s">
        <v>2</v>
      </c>
      <c r="D46" s="113" t="s">
        <v>4</v>
      </c>
      <c r="E46" s="114" t="s">
        <v>6</v>
      </c>
      <c r="F46" s="112" t="s">
        <v>8</v>
      </c>
      <c r="G46" s="114" t="s">
        <v>10</v>
      </c>
      <c r="H46" s="4"/>
      <c r="J46" s="4"/>
    </row>
    <row r="47" spans="1:17" ht="15.75" thickBot="1" x14ac:dyDescent="0.3">
      <c r="A47" s="135" t="s">
        <v>12</v>
      </c>
      <c r="B47" s="46">
        <v>150</v>
      </c>
      <c r="C47" s="46">
        <v>0</v>
      </c>
      <c r="D47" s="46">
        <v>0</v>
      </c>
      <c r="E47" s="96">
        <v>0</v>
      </c>
      <c r="F47" s="46">
        <v>0</v>
      </c>
      <c r="G47" s="100">
        <v>0</v>
      </c>
    </row>
    <row r="48" spans="1:17" x14ac:dyDescent="0.25">
      <c r="A48" s="105" t="s">
        <v>61</v>
      </c>
      <c r="B48" s="41">
        <v>3291</v>
      </c>
      <c r="C48" s="41">
        <v>165</v>
      </c>
      <c r="D48" s="41">
        <v>0</v>
      </c>
      <c r="E48" s="97">
        <v>0</v>
      </c>
      <c r="F48" s="41">
        <v>0</v>
      </c>
      <c r="G48" s="101">
        <v>0</v>
      </c>
    </row>
    <row r="49" spans="1:7" ht="15.75" thickBot="1" x14ac:dyDescent="0.3">
      <c r="A49" s="106" t="s">
        <v>62</v>
      </c>
      <c r="B49" s="43">
        <v>864</v>
      </c>
      <c r="C49" s="43">
        <v>0</v>
      </c>
      <c r="D49" s="43">
        <v>0</v>
      </c>
      <c r="E49" s="98">
        <v>0</v>
      </c>
      <c r="F49" s="43">
        <v>0</v>
      </c>
      <c r="G49" s="102">
        <v>0</v>
      </c>
    </row>
    <row r="50" spans="1:7" x14ac:dyDescent="0.25">
      <c r="A50" s="105" t="s">
        <v>63</v>
      </c>
      <c r="B50" s="47">
        <v>0</v>
      </c>
      <c r="C50" s="47">
        <v>1344</v>
      </c>
      <c r="D50" s="47">
        <v>0</v>
      </c>
      <c r="E50" s="75">
        <v>0</v>
      </c>
      <c r="F50" s="47">
        <v>0</v>
      </c>
      <c r="G50" s="103">
        <v>0</v>
      </c>
    </row>
    <row r="51" spans="1:7" ht="15.75" thickBot="1" x14ac:dyDescent="0.3">
      <c r="A51" s="106" t="s">
        <v>68</v>
      </c>
      <c r="B51" s="76">
        <v>0</v>
      </c>
      <c r="C51" s="76">
        <v>336</v>
      </c>
      <c r="D51" s="76">
        <v>0</v>
      </c>
      <c r="E51" s="99">
        <v>0</v>
      </c>
      <c r="F51" s="76">
        <v>0</v>
      </c>
      <c r="G51" s="104">
        <v>0</v>
      </c>
    </row>
    <row r="52" spans="1:7" x14ac:dyDescent="0.25">
      <c r="A52" s="105" t="s">
        <v>67</v>
      </c>
      <c r="B52" s="41">
        <v>0</v>
      </c>
      <c r="C52" s="41">
        <v>0</v>
      </c>
      <c r="D52" s="41">
        <v>4032</v>
      </c>
      <c r="E52" s="97">
        <v>0</v>
      </c>
      <c r="F52" s="41">
        <v>0</v>
      </c>
      <c r="G52" s="101">
        <v>0</v>
      </c>
    </row>
    <row r="53" spans="1:7" ht="15.75" thickBot="1" x14ac:dyDescent="0.3">
      <c r="A53" s="106" t="s">
        <v>69</v>
      </c>
      <c r="B53" s="43">
        <v>0</v>
      </c>
      <c r="C53" s="43">
        <v>550</v>
      </c>
      <c r="D53" s="43">
        <v>458</v>
      </c>
      <c r="E53" s="98">
        <v>0</v>
      </c>
      <c r="F53" s="43">
        <v>0</v>
      </c>
      <c r="G53" s="102">
        <v>0</v>
      </c>
    </row>
    <row r="54" spans="1:7" x14ac:dyDescent="0.25">
      <c r="A54" s="105" t="s">
        <v>64</v>
      </c>
      <c r="B54" s="47">
        <v>0</v>
      </c>
      <c r="C54" s="47">
        <v>0</v>
      </c>
      <c r="D54" s="47">
        <v>0</v>
      </c>
      <c r="E54" s="75">
        <v>4416</v>
      </c>
      <c r="F54" s="47">
        <v>0</v>
      </c>
      <c r="G54" s="103">
        <v>0</v>
      </c>
    </row>
    <row r="55" spans="1:7" ht="15.75" thickBot="1" x14ac:dyDescent="0.3">
      <c r="A55" s="106" t="s">
        <v>70</v>
      </c>
      <c r="B55" s="76">
        <v>0</v>
      </c>
      <c r="C55" s="76">
        <v>130</v>
      </c>
      <c r="D55" s="76">
        <v>0</v>
      </c>
      <c r="E55" s="99">
        <v>761</v>
      </c>
      <c r="F55" s="76">
        <v>0</v>
      </c>
      <c r="G55" s="104">
        <v>0</v>
      </c>
    </row>
    <row r="56" spans="1:7" x14ac:dyDescent="0.25">
      <c r="A56" s="105" t="s">
        <v>65</v>
      </c>
      <c r="B56" s="41">
        <v>0</v>
      </c>
      <c r="C56" s="41">
        <v>0</v>
      </c>
      <c r="D56" s="41">
        <v>0</v>
      </c>
      <c r="E56" s="97">
        <v>0</v>
      </c>
      <c r="F56" s="41">
        <v>4032</v>
      </c>
      <c r="G56" s="101">
        <v>0</v>
      </c>
    </row>
    <row r="57" spans="1:7" ht="15.75" thickBot="1" x14ac:dyDescent="0.3">
      <c r="A57" s="106" t="s">
        <v>71</v>
      </c>
      <c r="B57" s="43">
        <v>0</v>
      </c>
      <c r="C57" s="43">
        <v>0</v>
      </c>
      <c r="D57" s="43">
        <v>0</v>
      </c>
      <c r="E57" s="98">
        <v>0</v>
      </c>
      <c r="F57" s="43">
        <v>562</v>
      </c>
      <c r="G57" s="102">
        <v>0</v>
      </c>
    </row>
    <row r="58" spans="1:7" x14ac:dyDescent="0.25">
      <c r="A58" s="105" t="s">
        <v>66</v>
      </c>
      <c r="B58" s="47">
        <v>0</v>
      </c>
      <c r="C58" s="47">
        <v>0</v>
      </c>
      <c r="D58" s="47">
        <v>0</v>
      </c>
      <c r="E58" s="75">
        <v>0</v>
      </c>
      <c r="F58" s="47">
        <v>0</v>
      </c>
      <c r="G58" s="103">
        <v>3654</v>
      </c>
    </row>
    <row r="59" spans="1:7" ht="15.75" thickBot="1" x14ac:dyDescent="0.3">
      <c r="A59" s="106" t="s">
        <v>72</v>
      </c>
      <c r="B59" s="43">
        <v>0</v>
      </c>
      <c r="C59" s="43">
        <v>0</v>
      </c>
      <c r="D59" s="43">
        <v>0</v>
      </c>
      <c r="E59" s="98">
        <v>0</v>
      </c>
      <c r="F59" s="43">
        <v>0</v>
      </c>
      <c r="G59" s="102">
        <v>0</v>
      </c>
    </row>
    <row r="61" spans="1:7" x14ac:dyDescent="0.25">
      <c r="A61" s="31" t="s">
        <v>16</v>
      </c>
      <c r="B61" s="31">
        <f t="shared" ref="B61:G61" si="9">SUM(B47:B59)</f>
        <v>4305</v>
      </c>
      <c r="C61" s="31">
        <f t="shared" si="9"/>
        <v>2525</v>
      </c>
      <c r="D61" s="31">
        <f t="shared" si="9"/>
        <v>4490</v>
      </c>
      <c r="E61" s="31">
        <f t="shared" si="9"/>
        <v>5177</v>
      </c>
      <c r="F61" s="31">
        <f t="shared" si="9"/>
        <v>4594</v>
      </c>
      <c r="G61" s="31">
        <f t="shared" si="9"/>
        <v>3654</v>
      </c>
    </row>
    <row r="62" spans="1:7" x14ac:dyDescent="0.25">
      <c r="A62" s="31" t="s">
        <v>73</v>
      </c>
      <c r="B62" s="31">
        <v>4305</v>
      </c>
      <c r="C62" s="31">
        <v>2525</v>
      </c>
      <c r="D62" s="31">
        <v>4490</v>
      </c>
      <c r="E62" s="31">
        <v>5177</v>
      </c>
      <c r="F62" s="31">
        <v>4594</v>
      </c>
      <c r="G62" s="31">
        <v>3654</v>
      </c>
    </row>
    <row r="63" spans="1:7" ht="15.75" thickBot="1" x14ac:dyDescent="0.3"/>
    <row r="64" spans="1:7" x14ac:dyDescent="0.25">
      <c r="E64" s="165" t="s">
        <v>39</v>
      </c>
      <c r="F64" s="161">
        <f>SUM(B21*C21+B22*C22+B23*C23+D24*E24+D29*E29+F26*G26+F27*G27+H28*I28+H29*I29+J30*K30+J31*K31+D27*E27+L32*M32+D25*E25+N31*O31+N29*O29+N32*O32+N33*O33+D22*E22)</f>
        <v>357987.5</v>
      </c>
      <c r="G64" s="162"/>
    </row>
    <row r="65" spans="5:7" ht="15.75" thickBot="1" x14ac:dyDescent="0.3">
      <c r="E65" s="166"/>
      <c r="F65" s="163"/>
      <c r="G65" s="164"/>
    </row>
  </sheetData>
  <mergeCells count="10">
    <mergeCell ref="B19:O19"/>
    <mergeCell ref="N20:O20"/>
    <mergeCell ref="F64:G65"/>
    <mergeCell ref="E64:E65"/>
    <mergeCell ref="B20:C20"/>
    <mergeCell ref="D20:E20"/>
    <mergeCell ref="F20:G20"/>
    <mergeCell ref="H20:I20"/>
    <mergeCell ref="J20:K20"/>
    <mergeCell ref="L20:M20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tabSelected="1" zoomScale="75" zoomScaleNormal="75" workbookViewId="0">
      <selection activeCell="A41" sqref="A41:G59"/>
    </sheetView>
  </sheetViews>
  <sheetFormatPr baseColWidth="10" defaultRowHeight="15" x14ac:dyDescent="0.25"/>
  <cols>
    <col min="1" max="1" width="13.28515625" customWidth="1"/>
    <col min="7" max="7" width="17.28515625" customWidth="1"/>
    <col min="8" max="8" width="18" bestFit="1" customWidth="1"/>
    <col min="21" max="21" width="13.28515625" customWidth="1"/>
  </cols>
  <sheetData>
    <row r="1" spans="2:25" x14ac:dyDescent="0.25">
      <c r="K1" s="3"/>
      <c r="N1" s="3"/>
      <c r="O1" s="3"/>
      <c r="P1" s="3"/>
    </row>
    <row r="2" spans="2:25" x14ac:dyDescent="0.25">
      <c r="B2" s="7"/>
      <c r="C2" s="7"/>
      <c r="D2" s="7"/>
      <c r="E2" s="7"/>
      <c r="S2" s="34"/>
      <c r="T2" s="34" t="s">
        <v>17</v>
      </c>
      <c r="U2" s="34" t="s">
        <v>60</v>
      </c>
      <c r="V2" s="34" t="s">
        <v>32</v>
      </c>
      <c r="W2" s="34" t="s">
        <v>18</v>
      </c>
      <c r="X2" s="34" t="s">
        <v>29</v>
      </c>
      <c r="Y2" s="34" t="s">
        <v>30</v>
      </c>
    </row>
    <row r="3" spans="2:25" x14ac:dyDescent="0.25">
      <c r="B3" s="7"/>
      <c r="C3" s="7"/>
      <c r="D3" s="7"/>
      <c r="E3" s="7"/>
      <c r="F3" s="8"/>
      <c r="K3" s="143" t="s">
        <v>19</v>
      </c>
      <c r="L3" s="143"/>
      <c r="M3" s="143"/>
      <c r="N3" s="143"/>
      <c r="O3" s="31">
        <v>150</v>
      </c>
      <c r="S3" s="35" t="s">
        <v>0</v>
      </c>
      <c r="T3" s="31">
        <v>18</v>
      </c>
      <c r="U3" s="31">
        <f>T3*O8</f>
        <v>3456</v>
      </c>
      <c r="V3" s="31">
        <f>T3*$O$9</f>
        <v>864</v>
      </c>
      <c r="W3" s="31">
        <v>4100</v>
      </c>
      <c r="X3" s="31">
        <f>W3*O$4</f>
        <v>205</v>
      </c>
      <c r="Y3" s="31">
        <f>W3+X3</f>
        <v>4305</v>
      </c>
    </row>
    <row r="4" spans="2:25" x14ac:dyDescent="0.25">
      <c r="B4" s="7"/>
      <c r="C4" s="7"/>
      <c r="D4" s="7"/>
      <c r="E4" s="7"/>
      <c r="K4" s="143" t="s">
        <v>34</v>
      </c>
      <c r="L4" s="143"/>
      <c r="M4" s="143"/>
      <c r="N4" s="143"/>
      <c r="O4" s="32">
        <f>0.05</f>
        <v>0.05</v>
      </c>
      <c r="S4" s="35" t="s">
        <v>2</v>
      </c>
      <c r="T4" s="31">
        <v>7</v>
      </c>
      <c r="U4" s="31">
        <f>T4*$O$8</f>
        <v>1344</v>
      </c>
      <c r="V4" s="31">
        <f t="shared" ref="V4:V8" si="0">T4*$O$9</f>
        <v>336</v>
      </c>
      <c r="W4" s="31">
        <v>2600</v>
      </c>
      <c r="X4" s="31">
        <f t="shared" ref="X4:X8" si="1">W4*O$4</f>
        <v>130</v>
      </c>
      <c r="Y4" s="31">
        <f>W4+X4-X3</f>
        <v>2525</v>
      </c>
    </row>
    <row r="5" spans="2:25" x14ac:dyDescent="0.25">
      <c r="B5" s="6"/>
      <c r="C5" s="6"/>
      <c r="D5" s="6"/>
      <c r="E5" s="6"/>
      <c r="K5" s="143" t="s">
        <v>22</v>
      </c>
      <c r="L5" s="143"/>
      <c r="M5" s="143"/>
      <c r="N5" s="143"/>
      <c r="O5" s="31">
        <v>16</v>
      </c>
      <c r="S5" s="35" t="s">
        <v>4</v>
      </c>
      <c r="T5" s="31">
        <v>21</v>
      </c>
      <c r="U5" s="31">
        <f t="shared" ref="U5:U8" si="2">T5*$O$8</f>
        <v>4032</v>
      </c>
      <c r="V5" s="31">
        <f t="shared" si="0"/>
        <v>1008</v>
      </c>
      <c r="W5" s="31">
        <v>4400</v>
      </c>
      <c r="X5" s="31">
        <f t="shared" si="1"/>
        <v>220</v>
      </c>
      <c r="Y5" s="31">
        <f t="shared" ref="Y5:Y8" si="3">W5+X5-X4</f>
        <v>4490</v>
      </c>
    </row>
    <row r="6" spans="2:25" x14ac:dyDescent="0.25">
      <c r="B6" s="7"/>
      <c r="C6" s="7"/>
      <c r="D6" s="7"/>
      <c r="E6" s="7"/>
      <c r="F6" s="5"/>
      <c r="K6" s="143" t="s">
        <v>23</v>
      </c>
      <c r="L6" s="143"/>
      <c r="M6" s="143"/>
      <c r="N6" s="143"/>
      <c r="O6" s="31">
        <v>8</v>
      </c>
      <c r="S6" s="35" t="s">
        <v>6</v>
      </c>
      <c r="T6" s="31">
        <v>23</v>
      </c>
      <c r="U6" s="31">
        <f t="shared" si="2"/>
        <v>4416</v>
      </c>
      <c r="V6" s="31">
        <f t="shared" si="0"/>
        <v>1104</v>
      </c>
      <c r="W6" s="31">
        <v>5140</v>
      </c>
      <c r="X6" s="31">
        <f t="shared" si="1"/>
        <v>257</v>
      </c>
      <c r="Y6" s="31">
        <f t="shared" si="3"/>
        <v>5177</v>
      </c>
    </row>
    <row r="7" spans="2:25" x14ac:dyDescent="0.25">
      <c r="B7" s="6"/>
      <c r="C7" s="6"/>
      <c r="D7" s="6"/>
      <c r="E7" s="6"/>
      <c r="K7" s="143" t="s">
        <v>24</v>
      </c>
      <c r="L7" s="143"/>
      <c r="M7" s="143"/>
      <c r="N7" s="143"/>
      <c r="O7" s="33">
        <v>1.5</v>
      </c>
      <c r="S7" s="35" t="s">
        <v>21</v>
      </c>
      <c r="T7" s="31">
        <v>21</v>
      </c>
      <c r="U7" s="31">
        <f t="shared" si="2"/>
        <v>4032</v>
      </c>
      <c r="V7" s="31">
        <f t="shared" si="0"/>
        <v>1008</v>
      </c>
      <c r="W7" s="31">
        <v>4620</v>
      </c>
      <c r="X7" s="31">
        <f t="shared" si="1"/>
        <v>231</v>
      </c>
      <c r="Y7" s="31">
        <f t="shared" si="3"/>
        <v>4594</v>
      </c>
    </row>
    <row r="8" spans="2:25" x14ac:dyDescent="0.25">
      <c r="B8" s="6"/>
      <c r="C8" s="6"/>
      <c r="D8" s="6"/>
      <c r="E8" s="6"/>
      <c r="K8" s="143" t="s">
        <v>33</v>
      </c>
      <c r="L8" s="143"/>
      <c r="M8" s="143"/>
      <c r="N8" s="143"/>
      <c r="O8" s="31">
        <f>O5*O6*O7</f>
        <v>192</v>
      </c>
      <c r="S8" s="35" t="s">
        <v>10</v>
      </c>
      <c r="T8" s="31">
        <v>20</v>
      </c>
      <c r="U8" s="31">
        <f t="shared" si="2"/>
        <v>3840</v>
      </c>
      <c r="V8" s="31">
        <f t="shared" si="0"/>
        <v>960</v>
      </c>
      <c r="W8" s="31">
        <v>3700</v>
      </c>
      <c r="X8" s="31">
        <f t="shared" si="1"/>
        <v>185</v>
      </c>
      <c r="Y8" s="31">
        <f t="shared" si="3"/>
        <v>3654</v>
      </c>
    </row>
    <row r="9" spans="2:25" x14ac:dyDescent="0.25">
      <c r="B9" s="6"/>
      <c r="C9" s="6"/>
      <c r="D9" s="6"/>
      <c r="E9" s="6"/>
      <c r="K9" s="143" t="s">
        <v>25</v>
      </c>
      <c r="L9" s="143"/>
      <c r="M9" s="143"/>
      <c r="N9" s="143"/>
      <c r="O9" s="31">
        <f>O8/4</f>
        <v>48</v>
      </c>
    </row>
    <row r="10" spans="2:25" x14ac:dyDescent="0.25">
      <c r="B10" s="7"/>
      <c r="C10" s="7"/>
      <c r="D10" s="7"/>
      <c r="E10" s="7"/>
      <c r="K10" s="143" t="s">
        <v>26</v>
      </c>
      <c r="L10" s="143"/>
      <c r="M10" s="143"/>
      <c r="N10" s="143"/>
      <c r="O10" s="31">
        <v>14</v>
      </c>
      <c r="U10" s="35" t="s">
        <v>74</v>
      </c>
      <c r="V10" s="31">
        <f>SUM(U3:V8)+O3</f>
        <v>26550</v>
      </c>
      <c r="X10" s="35" t="s">
        <v>75</v>
      </c>
      <c r="Y10" s="31">
        <f>SUM(Y2:Y8)</f>
        <v>24745</v>
      </c>
    </row>
    <row r="11" spans="2:25" x14ac:dyDescent="0.25">
      <c r="B11" s="6"/>
      <c r="C11" s="6"/>
      <c r="D11" s="6"/>
      <c r="E11" s="6"/>
      <c r="K11" s="143" t="s">
        <v>27</v>
      </c>
      <c r="L11" s="143"/>
      <c r="M11" s="143"/>
      <c r="N11" s="143"/>
      <c r="O11" s="31">
        <v>1.5</v>
      </c>
      <c r="X11" s="35" t="s">
        <v>13</v>
      </c>
      <c r="Y11" s="31">
        <f>V10-Y10</f>
        <v>1805</v>
      </c>
    </row>
    <row r="12" spans="2:25" x14ac:dyDescent="0.25">
      <c r="B12" s="6"/>
      <c r="C12" s="6"/>
      <c r="D12" s="6"/>
      <c r="E12" s="6"/>
      <c r="K12" s="143" t="s">
        <v>20</v>
      </c>
      <c r="L12" s="143"/>
      <c r="M12" s="143"/>
      <c r="N12" s="143"/>
      <c r="O12" s="31">
        <v>0.4</v>
      </c>
    </row>
    <row r="13" spans="2:25" x14ac:dyDescent="0.25">
      <c r="K13" s="143" t="s">
        <v>28</v>
      </c>
      <c r="L13" s="143"/>
      <c r="M13" s="143"/>
      <c r="N13" s="143"/>
      <c r="O13" s="31">
        <v>10</v>
      </c>
    </row>
    <row r="16" spans="2:25" ht="15.75" thickBot="1" x14ac:dyDescent="0.3"/>
    <row r="17" spans="1:17" ht="15.75" thickBot="1" x14ac:dyDescent="0.3">
      <c r="A17" s="9"/>
      <c r="B17" s="140" t="s">
        <v>35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2"/>
      <c r="M17" s="10"/>
      <c r="N17" s="10"/>
      <c r="O17" s="11"/>
      <c r="P17" s="12"/>
      <c r="Q17" s="12"/>
    </row>
    <row r="18" spans="1:17" ht="15.75" thickBot="1" x14ac:dyDescent="0.3">
      <c r="A18" s="13" t="s">
        <v>36</v>
      </c>
      <c r="B18" s="138" t="s">
        <v>0</v>
      </c>
      <c r="C18" s="139"/>
      <c r="D18" s="138" t="s">
        <v>2</v>
      </c>
      <c r="E18" s="139"/>
      <c r="F18" s="138" t="s">
        <v>4</v>
      </c>
      <c r="G18" s="139"/>
      <c r="H18" s="138" t="s">
        <v>6</v>
      </c>
      <c r="I18" s="139"/>
      <c r="J18" s="138" t="s">
        <v>8</v>
      </c>
      <c r="K18" s="139"/>
      <c r="L18" s="138" t="s">
        <v>10</v>
      </c>
      <c r="M18" s="139"/>
      <c r="N18" s="138" t="s">
        <v>13</v>
      </c>
      <c r="O18" s="139"/>
      <c r="P18" s="12"/>
      <c r="Q18" s="12" t="s">
        <v>37</v>
      </c>
    </row>
    <row r="19" spans="1:17" ht="15.75" thickBot="1" x14ac:dyDescent="0.3">
      <c r="A19" s="14" t="s">
        <v>12</v>
      </c>
      <c r="B19" s="15">
        <v>150</v>
      </c>
      <c r="C19" s="16">
        <v>0</v>
      </c>
      <c r="D19" s="15"/>
      <c r="E19" s="16">
        <v>0.4</v>
      </c>
      <c r="F19" s="15"/>
      <c r="G19" s="16">
        <v>0.8</v>
      </c>
      <c r="H19" s="15"/>
      <c r="I19" s="16">
        <v>1.2000000000000002</v>
      </c>
      <c r="J19" s="15"/>
      <c r="K19" s="16">
        <v>1.6</v>
      </c>
      <c r="L19" s="15"/>
      <c r="M19" s="16">
        <v>2</v>
      </c>
      <c r="N19" s="15"/>
      <c r="O19" s="16">
        <v>0</v>
      </c>
      <c r="P19" s="22"/>
      <c r="Q19">
        <f>O3-SUM(B19,D19,F19,H19,J19,L19,N19)</f>
        <v>0</v>
      </c>
    </row>
    <row r="20" spans="1:17" x14ac:dyDescent="0.25">
      <c r="A20" s="17" t="s">
        <v>61</v>
      </c>
      <c r="B20" s="9">
        <v>3456</v>
      </c>
      <c r="C20" s="18">
        <v>14</v>
      </c>
      <c r="D20" s="9"/>
      <c r="E20" s="18">
        <v>14.4</v>
      </c>
      <c r="F20" s="9"/>
      <c r="G20" s="18">
        <v>14.8</v>
      </c>
      <c r="H20" s="9"/>
      <c r="I20" s="18">
        <v>15.200000000000001</v>
      </c>
      <c r="J20" s="9"/>
      <c r="K20" s="18">
        <v>15.600000000000001</v>
      </c>
      <c r="L20" s="9"/>
      <c r="M20" s="18">
        <v>16</v>
      </c>
      <c r="N20" s="9"/>
      <c r="O20" s="18">
        <v>0</v>
      </c>
      <c r="P20" s="22"/>
      <c r="Q20" s="12">
        <f>U3-SUM(B20,D20,F20,H20,J20,L20,N20)</f>
        <v>0</v>
      </c>
    </row>
    <row r="21" spans="1:17" ht="15.75" thickBot="1" x14ac:dyDescent="0.3">
      <c r="A21" s="19" t="s">
        <v>62</v>
      </c>
      <c r="B21" s="20"/>
      <c r="C21" s="21">
        <v>15.5</v>
      </c>
      <c r="D21" s="20"/>
      <c r="E21" s="21">
        <v>15.9</v>
      </c>
      <c r="F21" s="20"/>
      <c r="G21" s="21">
        <v>16.3</v>
      </c>
      <c r="H21" s="20"/>
      <c r="I21" s="21">
        <v>16.7</v>
      </c>
      <c r="J21" s="20"/>
      <c r="K21" s="21">
        <v>17.100000000000001</v>
      </c>
      <c r="L21" s="20"/>
      <c r="M21" s="21">
        <v>17.5</v>
      </c>
      <c r="N21" s="20">
        <v>864</v>
      </c>
      <c r="O21" s="21">
        <v>0</v>
      </c>
      <c r="P21" s="22"/>
      <c r="Q21" s="12">
        <f>V3-SUM(B21,D21,F21,H21,J21,L21,N21)</f>
        <v>0</v>
      </c>
    </row>
    <row r="22" spans="1:17" x14ac:dyDescent="0.25">
      <c r="A22" s="17" t="s">
        <v>63</v>
      </c>
      <c r="B22" s="9"/>
      <c r="C22" s="18">
        <v>24</v>
      </c>
      <c r="D22" s="9">
        <v>1344</v>
      </c>
      <c r="E22" s="18">
        <v>14</v>
      </c>
      <c r="F22" s="9"/>
      <c r="G22" s="18">
        <v>14.4</v>
      </c>
      <c r="H22" s="9"/>
      <c r="I22" s="18">
        <v>14.8</v>
      </c>
      <c r="J22" s="9"/>
      <c r="K22" s="18">
        <v>15.200000000000001</v>
      </c>
      <c r="L22" s="9"/>
      <c r="M22" s="18">
        <v>15.600000000000001</v>
      </c>
      <c r="N22" s="9"/>
      <c r="O22" s="18">
        <v>0</v>
      </c>
      <c r="P22" s="23"/>
      <c r="Q22" s="12">
        <f>U4-SUM(B22,D22,F22,H22,J22,L22,N22)</f>
        <v>0</v>
      </c>
    </row>
    <row r="23" spans="1:17" ht="15.75" thickBot="1" x14ac:dyDescent="0.3">
      <c r="A23" s="19" t="s">
        <v>68</v>
      </c>
      <c r="B23" s="20"/>
      <c r="C23" s="21">
        <v>25.5</v>
      </c>
      <c r="D23" s="20"/>
      <c r="E23" s="21">
        <v>15.5</v>
      </c>
      <c r="F23" s="20"/>
      <c r="G23" s="21">
        <v>15.9</v>
      </c>
      <c r="H23" s="20"/>
      <c r="I23" s="21">
        <v>16.3</v>
      </c>
      <c r="J23" s="20"/>
      <c r="K23" s="21">
        <v>16.7</v>
      </c>
      <c r="L23" s="20"/>
      <c r="M23" s="21">
        <v>17.099999999999998</v>
      </c>
      <c r="N23" s="20">
        <v>336</v>
      </c>
      <c r="O23" s="21">
        <v>0</v>
      </c>
      <c r="P23" s="23"/>
      <c r="Q23" s="12">
        <f>V4-SUM(B23,D23,F23,H23,J23,L23,N23)</f>
        <v>0</v>
      </c>
    </row>
    <row r="24" spans="1:17" x14ac:dyDescent="0.25">
      <c r="A24" s="17" t="s">
        <v>67</v>
      </c>
      <c r="B24" s="9"/>
      <c r="C24" s="18">
        <v>34</v>
      </c>
      <c r="D24" s="9"/>
      <c r="E24" s="18">
        <v>24</v>
      </c>
      <c r="F24" s="9">
        <v>4032</v>
      </c>
      <c r="G24" s="18">
        <v>14</v>
      </c>
      <c r="H24" s="9"/>
      <c r="I24" s="18">
        <v>14.4</v>
      </c>
      <c r="J24" s="9"/>
      <c r="K24" s="18">
        <v>14.8</v>
      </c>
      <c r="L24" s="9"/>
      <c r="M24" s="18">
        <v>15.200000000000001</v>
      </c>
      <c r="N24" s="9"/>
      <c r="O24" s="18">
        <v>0</v>
      </c>
      <c r="P24" s="23"/>
      <c r="Q24" s="12">
        <f>U5-SUM(B24,D24,F24,H24,J24,L24,N24)</f>
        <v>0</v>
      </c>
    </row>
    <row r="25" spans="1:17" ht="15.75" thickBot="1" x14ac:dyDescent="0.3">
      <c r="A25" s="19" t="s">
        <v>69</v>
      </c>
      <c r="B25" s="20"/>
      <c r="C25" s="21">
        <v>35.5</v>
      </c>
      <c r="D25" s="20"/>
      <c r="E25" s="21">
        <v>25.5</v>
      </c>
      <c r="F25" s="20">
        <v>403</v>
      </c>
      <c r="G25" s="21">
        <v>15.5</v>
      </c>
      <c r="H25" s="20"/>
      <c r="I25" s="21">
        <v>15.9</v>
      </c>
      <c r="J25" s="20"/>
      <c r="K25" s="21">
        <v>16.3</v>
      </c>
      <c r="L25" s="20"/>
      <c r="M25" s="21">
        <v>16.7</v>
      </c>
      <c r="N25" s="20">
        <v>605</v>
      </c>
      <c r="O25" s="21">
        <v>0</v>
      </c>
      <c r="P25" s="23"/>
      <c r="Q25" s="12">
        <f>V5-SUM(B25,D25,F25,H25,J25,L25,N25)</f>
        <v>0</v>
      </c>
    </row>
    <row r="26" spans="1:17" x14ac:dyDescent="0.25">
      <c r="A26" s="17" t="s">
        <v>64</v>
      </c>
      <c r="B26" s="9"/>
      <c r="C26" s="18">
        <v>44</v>
      </c>
      <c r="D26" s="9"/>
      <c r="E26" s="18">
        <v>34</v>
      </c>
      <c r="F26" s="9"/>
      <c r="G26" s="18">
        <v>24</v>
      </c>
      <c r="H26" s="9">
        <v>4073</v>
      </c>
      <c r="I26" s="18">
        <v>14</v>
      </c>
      <c r="J26" s="9">
        <v>343</v>
      </c>
      <c r="K26" s="18">
        <v>14.4</v>
      </c>
      <c r="L26" s="9"/>
      <c r="M26" s="18">
        <v>14.8</v>
      </c>
      <c r="N26" s="9"/>
      <c r="O26" s="18">
        <v>0</v>
      </c>
      <c r="P26" s="23"/>
      <c r="Q26" s="12">
        <f>U6-SUM(B26,D26,F26,H26,J26,L26,N26)</f>
        <v>0</v>
      </c>
    </row>
    <row r="27" spans="1:17" ht="15.75" thickBot="1" x14ac:dyDescent="0.3">
      <c r="A27" s="19" t="s">
        <v>70</v>
      </c>
      <c r="B27" s="20"/>
      <c r="C27" s="21">
        <v>45.5</v>
      </c>
      <c r="D27" s="20"/>
      <c r="E27" s="21">
        <v>35.5</v>
      </c>
      <c r="F27" s="20"/>
      <c r="G27" s="21">
        <v>25.5</v>
      </c>
      <c r="H27" s="20">
        <v>1104</v>
      </c>
      <c r="I27" s="21">
        <v>15.5</v>
      </c>
      <c r="J27" s="20"/>
      <c r="K27" s="21">
        <v>15.9</v>
      </c>
      <c r="L27" s="20"/>
      <c r="M27" s="21">
        <v>16.3</v>
      </c>
      <c r="N27" s="20"/>
      <c r="O27" s="21">
        <v>0</v>
      </c>
      <c r="P27" s="23"/>
      <c r="Q27" s="12">
        <f>V6-SUM(B27,D27,F27,H27,J27,L27,N27)</f>
        <v>0</v>
      </c>
    </row>
    <row r="28" spans="1:17" x14ac:dyDescent="0.25">
      <c r="A28" s="17" t="s">
        <v>65</v>
      </c>
      <c r="B28" s="9"/>
      <c r="C28" s="18">
        <v>54</v>
      </c>
      <c r="D28" s="9"/>
      <c r="E28" s="18">
        <v>44</v>
      </c>
      <c r="F28" s="9"/>
      <c r="G28" s="18">
        <v>34</v>
      </c>
      <c r="H28" s="9"/>
      <c r="I28" s="18">
        <v>24</v>
      </c>
      <c r="J28" s="9">
        <v>3243</v>
      </c>
      <c r="K28" s="18">
        <v>14</v>
      </c>
      <c r="L28" s="9">
        <v>789</v>
      </c>
      <c r="M28" s="18">
        <v>14.4</v>
      </c>
      <c r="N28" s="9"/>
      <c r="O28" s="18">
        <v>0</v>
      </c>
      <c r="P28" s="23"/>
      <c r="Q28" s="12">
        <f>U7-SUM(B28,D28,F28,H28,J28,L28,N28)</f>
        <v>0</v>
      </c>
    </row>
    <row r="29" spans="1:17" ht="15.75" thickBot="1" x14ac:dyDescent="0.3">
      <c r="A29" s="19" t="s">
        <v>71</v>
      </c>
      <c r="B29" s="20"/>
      <c r="C29" s="21">
        <v>55.5</v>
      </c>
      <c r="D29" s="20"/>
      <c r="E29" s="21">
        <v>45.5</v>
      </c>
      <c r="F29" s="20"/>
      <c r="G29" s="21">
        <v>35.5</v>
      </c>
      <c r="H29" s="20"/>
      <c r="I29" s="21">
        <v>25.5</v>
      </c>
      <c r="J29" s="20">
        <v>1008</v>
      </c>
      <c r="K29" s="21">
        <v>15.5</v>
      </c>
      <c r="L29" s="20"/>
      <c r="M29" s="21">
        <v>15.9</v>
      </c>
      <c r="N29" s="20"/>
      <c r="O29" s="21">
        <v>0</v>
      </c>
      <c r="P29" s="23"/>
      <c r="Q29" s="12">
        <f>V7-SUM(B29,D29,F29,H29,J29,L29,N29)</f>
        <v>0</v>
      </c>
    </row>
    <row r="30" spans="1:17" x14ac:dyDescent="0.25">
      <c r="A30" s="17" t="s">
        <v>66</v>
      </c>
      <c r="B30" s="9">
        <v>699</v>
      </c>
      <c r="C30" s="18">
        <v>64</v>
      </c>
      <c r="D30" s="9">
        <v>1181</v>
      </c>
      <c r="E30" s="18">
        <v>54</v>
      </c>
      <c r="F30" s="9">
        <v>55</v>
      </c>
      <c r="G30" s="18">
        <v>44</v>
      </c>
      <c r="H30" s="9"/>
      <c r="I30" s="18">
        <v>34</v>
      </c>
      <c r="J30" s="9"/>
      <c r="K30" s="18">
        <v>24</v>
      </c>
      <c r="L30" s="9">
        <v>1905</v>
      </c>
      <c r="M30" s="18">
        <v>14</v>
      </c>
      <c r="N30" s="9"/>
      <c r="O30" s="18">
        <v>0</v>
      </c>
      <c r="P30" s="23"/>
      <c r="Q30" s="12">
        <f>U8-SUM(B30,D30,F30,H30,J30,L30,N30)</f>
        <v>0</v>
      </c>
    </row>
    <row r="31" spans="1:17" ht="15.75" thickBot="1" x14ac:dyDescent="0.3">
      <c r="A31" s="19" t="s">
        <v>72</v>
      </c>
      <c r="B31" s="20"/>
      <c r="C31" s="21">
        <v>65.5</v>
      </c>
      <c r="D31" s="20"/>
      <c r="E31" s="21">
        <v>55.5</v>
      </c>
      <c r="F31" s="20"/>
      <c r="G31" s="21">
        <v>45.5</v>
      </c>
      <c r="H31" s="20"/>
      <c r="I31" s="21">
        <v>35.5</v>
      </c>
      <c r="J31" s="20"/>
      <c r="K31" s="21">
        <v>25.5</v>
      </c>
      <c r="L31" s="20">
        <v>960</v>
      </c>
      <c r="M31" s="21">
        <v>15.5</v>
      </c>
      <c r="N31" s="20"/>
      <c r="O31" s="21">
        <v>0</v>
      </c>
      <c r="P31" s="23"/>
      <c r="Q31" s="12">
        <f>V8-SUM(B31,D31,F31,H31,J31,L31,N31)</f>
        <v>0</v>
      </c>
    </row>
    <row r="32" spans="1:17" x14ac:dyDescent="0.25"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</row>
    <row r="33" spans="1:15" x14ac:dyDescent="0.25">
      <c r="A33" t="s">
        <v>38</v>
      </c>
      <c r="B33" s="144">
        <f>Y3-SUM(B19:B31)</f>
        <v>0</v>
      </c>
      <c r="C33" s="144"/>
      <c r="D33" s="144">
        <f>Y4-SUM(D19:D31)</f>
        <v>0</v>
      </c>
      <c r="E33" s="144"/>
      <c r="F33" s="144">
        <f>Y5-SUM(F19:F31)</f>
        <v>0</v>
      </c>
      <c r="G33" s="144"/>
      <c r="H33" s="144">
        <f>Y6-SUM(H19:H31)</f>
        <v>0</v>
      </c>
      <c r="I33" s="144"/>
      <c r="J33" s="144">
        <f>Y7-SUM(J19:J31)</f>
        <v>0</v>
      </c>
      <c r="K33" s="144"/>
      <c r="L33" s="144">
        <f>Y8-SUM(L19:L31)</f>
        <v>0</v>
      </c>
      <c r="M33" s="144"/>
      <c r="N33" s="144">
        <f>Y11-SUM(N19:N31)</f>
        <v>0</v>
      </c>
      <c r="O33" s="144"/>
    </row>
    <row r="40" spans="1:15" ht="15.75" thickBot="1" x14ac:dyDescent="0.3"/>
    <row r="41" spans="1:15" ht="15.75" thickBot="1" x14ac:dyDescent="0.3">
      <c r="B41" s="112" t="s">
        <v>0</v>
      </c>
      <c r="C41" s="112" t="s">
        <v>2</v>
      </c>
      <c r="D41" s="113" t="s">
        <v>4</v>
      </c>
      <c r="E41" s="114" t="s">
        <v>6</v>
      </c>
      <c r="F41" s="112" t="s">
        <v>8</v>
      </c>
      <c r="G41" s="114" t="s">
        <v>10</v>
      </c>
    </row>
    <row r="42" spans="1:15" ht="15.75" thickBot="1" x14ac:dyDescent="0.3">
      <c r="A42" s="107" t="s">
        <v>12</v>
      </c>
      <c r="B42" s="46">
        <v>150</v>
      </c>
      <c r="C42" s="46">
        <v>0</v>
      </c>
      <c r="D42" s="46">
        <v>0</v>
      </c>
      <c r="E42" s="96">
        <v>0</v>
      </c>
      <c r="F42" s="46">
        <v>0</v>
      </c>
      <c r="G42" s="100">
        <v>0</v>
      </c>
    </row>
    <row r="43" spans="1:15" x14ac:dyDescent="0.25">
      <c r="A43" s="108" t="s">
        <v>0</v>
      </c>
      <c r="B43" s="41">
        <v>3456</v>
      </c>
      <c r="C43" s="41">
        <v>0</v>
      </c>
      <c r="D43" s="41">
        <v>0</v>
      </c>
      <c r="E43" s="97">
        <v>0</v>
      </c>
      <c r="F43" s="41">
        <v>0</v>
      </c>
      <c r="G43" s="101">
        <v>0</v>
      </c>
    </row>
    <row r="44" spans="1:15" ht="15.75" thickBot="1" x14ac:dyDescent="0.3">
      <c r="A44" s="109" t="s">
        <v>1</v>
      </c>
      <c r="B44" s="43">
        <v>0</v>
      </c>
      <c r="C44" s="43">
        <v>0</v>
      </c>
      <c r="D44" s="43">
        <v>0</v>
      </c>
      <c r="E44" s="98">
        <v>0</v>
      </c>
      <c r="F44" s="43">
        <v>0</v>
      </c>
      <c r="G44" s="102">
        <v>0</v>
      </c>
    </row>
    <row r="45" spans="1:15" x14ac:dyDescent="0.25">
      <c r="A45" s="110" t="s">
        <v>2</v>
      </c>
      <c r="B45" s="47">
        <v>0</v>
      </c>
      <c r="C45" s="47">
        <v>1344</v>
      </c>
      <c r="D45" s="47">
        <v>0</v>
      </c>
      <c r="E45" s="75">
        <v>0</v>
      </c>
      <c r="F45" s="47">
        <v>0</v>
      </c>
      <c r="G45" s="103">
        <v>0</v>
      </c>
    </row>
    <row r="46" spans="1:15" ht="15.75" thickBot="1" x14ac:dyDescent="0.3">
      <c r="A46" s="111" t="s">
        <v>3</v>
      </c>
      <c r="B46" s="76">
        <v>0</v>
      </c>
      <c r="C46" s="76">
        <v>0</v>
      </c>
      <c r="D46" s="76">
        <v>0</v>
      </c>
      <c r="E46" s="99">
        <v>0</v>
      </c>
      <c r="F46" s="76">
        <v>0</v>
      </c>
      <c r="G46" s="104">
        <v>0</v>
      </c>
    </row>
    <row r="47" spans="1:15" x14ac:dyDescent="0.25">
      <c r="A47" s="108" t="s">
        <v>4</v>
      </c>
      <c r="B47" s="41">
        <v>0</v>
      </c>
      <c r="C47" s="41">
        <v>0</v>
      </c>
      <c r="D47" s="41">
        <v>4032</v>
      </c>
      <c r="E47" s="97">
        <v>0</v>
      </c>
      <c r="F47" s="41">
        <v>0</v>
      </c>
      <c r="G47" s="101">
        <v>0</v>
      </c>
    </row>
    <row r="48" spans="1:15" ht="15.75" thickBot="1" x14ac:dyDescent="0.3">
      <c r="A48" s="109" t="s">
        <v>5</v>
      </c>
      <c r="B48" s="43">
        <v>0</v>
      </c>
      <c r="C48" s="43">
        <v>0</v>
      </c>
      <c r="D48" s="43">
        <v>403</v>
      </c>
      <c r="E48" s="98">
        <v>0</v>
      </c>
      <c r="F48" s="43">
        <v>0</v>
      </c>
      <c r="G48" s="102">
        <v>0</v>
      </c>
    </row>
    <row r="49" spans="1:7" x14ac:dyDescent="0.25">
      <c r="A49" s="110" t="s">
        <v>6</v>
      </c>
      <c r="B49" s="47">
        <v>0</v>
      </c>
      <c r="C49" s="47">
        <v>0</v>
      </c>
      <c r="D49" s="47">
        <v>0</v>
      </c>
      <c r="E49" s="75">
        <v>4073</v>
      </c>
      <c r="F49" s="47">
        <v>343</v>
      </c>
      <c r="G49" s="103">
        <v>0</v>
      </c>
    </row>
    <row r="50" spans="1:7" ht="15.75" thickBot="1" x14ac:dyDescent="0.3">
      <c r="A50" s="111" t="s">
        <v>7</v>
      </c>
      <c r="B50" s="76">
        <v>0</v>
      </c>
      <c r="C50" s="76">
        <v>0</v>
      </c>
      <c r="D50" s="76">
        <v>0</v>
      </c>
      <c r="E50" s="99">
        <v>1104</v>
      </c>
      <c r="F50" s="76">
        <v>0</v>
      </c>
      <c r="G50" s="104">
        <v>0</v>
      </c>
    </row>
    <row r="51" spans="1:7" x14ac:dyDescent="0.25">
      <c r="A51" s="108" t="s">
        <v>8</v>
      </c>
      <c r="B51" s="41">
        <v>0</v>
      </c>
      <c r="C51" s="41">
        <v>0</v>
      </c>
      <c r="D51" s="41">
        <v>0</v>
      </c>
      <c r="E51" s="97">
        <v>0</v>
      </c>
      <c r="F51" s="41">
        <v>3243</v>
      </c>
      <c r="G51" s="101">
        <v>789</v>
      </c>
    </row>
    <row r="52" spans="1:7" ht="15.75" thickBot="1" x14ac:dyDescent="0.3">
      <c r="A52" s="109" t="s">
        <v>9</v>
      </c>
      <c r="B52" s="43">
        <v>0</v>
      </c>
      <c r="C52" s="43">
        <v>0</v>
      </c>
      <c r="D52" s="43">
        <v>0</v>
      </c>
      <c r="E52" s="98">
        <v>0</v>
      </c>
      <c r="F52" s="43">
        <v>1008</v>
      </c>
      <c r="G52" s="102">
        <v>0</v>
      </c>
    </row>
    <row r="53" spans="1:7" x14ac:dyDescent="0.25">
      <c r="A53" s="110" t="s">
        <v>10</v>
      </c>
      <c r="B53" s="47">
        <v>699</v>
      </c>
      <c r="C53" s="47">
        <v>1181</v>
      </c>
      <c r="D53" s="47">
        <v>55</v>
      </c>
      <c r="E53" s="75">
        <v>0</v>
      </c>
      <c r="F53" s="47">
        <v>0</v>
      </c>
      <c r="G53" s="103">
        <v>1905</v>
      </c>
    </row>
    <row r="54" spans="1:7" ht="15.75" thickBot="1" x14ac:dyDescent="0.3">
      <c r="A54" s="109" t="s">
        <v>11</v>
      </c>
      <c r="B54" s="43">
        <v>0</v>
      </c>
      <c r="C54" s="43">
        <v>0</v>
      </c>
      <c r="D54" s="43">
        <v>0</v>
      </c>
      <c r="E54" s="98">
        <v>0</v>
      </c>
      <c r="F54" s="43">
        <v>0</v>
      </c>
      <c r="G54" s="102">
        <v>960</v>
      </c>
    </row>
    <row r="56" spans="1:7" x14ac:dyDescent="0.25">
      <c r="A56" s="130" t="s">
        <v>16</v>
      </c>
      <c r="B56" s="31">
        <f t="shared" ref="B56:G56" si="4">SUM(B42:B54)</f>
        <v>4305</v>
      </c>
      <c r="C56" s="31">
        <f t="shared" si="4"/>
        <v>2525</v>
      </c>
      <c r="D56" s="31">
        <f t="shared" si="4"/>
        <v>4490</v>
      </c>
      <c r="E56" s="31">
        <f t="shared" si="4"/>
        <v>5177</v>
      </c>
      <c r="F56" s="31">
        <f t="shared" si="4"/>
        <v>4594</v>
      </c>
      <c r="G56" s="31">
        <f t="shared" si="4"/>
        <v>3654</v>
      </c>
    </row>
    <row r="57" spans="1:7" x14ac:dyDescent="0.25">
      <c r="A57" s="130" t="s">
        <v>73</v>
      </c>
      <c r="B57" s="31">
        <v>4305</v>
      </c>
      <c r="C57" s="31">
        <v>2525</v>
      </c>
      <c r="D57" s="31">
        <v>4490</v>
      </c>
      <c r="E57" s="31">
        <v>5177</v>
      </c>
      <c r="F57" s="31">
        <v>4594</v>
      </c>
      <c r="G57" s="31">
        <v>3654</v>
      </c>
    </row>
    <row r="58" spans="1:7" ht="15.75" thickBot="1" x14ac:dyDescent="0.3"/>
    <row r="59" spans="1:7" ht="16.5" thickBot="1" x14ac:dyDescent="0.3">
      <c r="F59" s="131" t="s">
        <v>39</v>
      </c>
      <c r="G59" s="132">
        <f>SUM(B19*C19+B20*C20+B30*C30+D22*E22+D30*E30+F24*G24+F25*G25+F30*G30+H26*I26+H27*I27+J26*K26+J28*K28+J29*K29+L28*M28+L30*M30+L31*M31+N25*O25+N23*O23+N21*O21)</f>
        <v>433835.3</v>
      </c>
    </row>
  </sheetData>
  <mergeCells count="33">
    <mergeCell ref="B32:C32"/>
    <mergeCell ref="D32:E32"/>
    <mergeCell ref="F32:G32"/>
    <mergeCell ref="H32:I32"/>
    <mergeCell ref="J32:K32"/>
    <mergeCell ref="H18:I18"/>
    <mergeCell ref="J18:K18"/>
    <mergeCell ref="K3:N3"/>
    <mergeCell ref="K4:N4"/>
    <mergeCell ref="K5:N5"/>
    <mergeCell ref="K6:N6"/>
    <mergeCell ref="K7:N7"/>
    <mergeCell ref="K9:N9"/>
    <mergeCell ref="K10:N10"/>
    <mergeCell ref="K11:N11"/>
    <mergeCell ref="K12:N12"/>
    <mergeCell ref="K13:N13"/>
    <mergeCell ref="L18:M18"/>
    <mergeCell ref="B17:L17"/>
    <mergeCell ref="K8:N8"/>
    <mergeCell ref="N18:O18"/>
    <mergeCell ref="B33:C33"/>
    <mergeCell ref="D33:E33"/>
    <mergeCell ref="F33:G33"/>
    <mergeCell ref="H33:I33"/>
    <mergeCell ref="J33:K33"/>
    <mergeCell ref="L33:M33"/>
    <mergeCell ref="L32:M32"/>
    <mergeCell ref="N32:O32"/>
    <mergeCell ref="N33:O33"/>
    <mergeCell ref="B18:C18"/>
    <mergeCell ref="D18:E18"/>
    <mergeCell ref="F18:G18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Q37"/>
  <sheetViews>
    <sheetView topLeftCell="A16" zoomScale="75" zoomScaleNormal="75" workbookViewId="0">
      <selection activeCell="A17" sqref="A17:Q37"/>
    </sheetView>
  </sheetViews>
  <sheetFormatPr baseColWidth="10" defaultRowHeight="15" x14ac:dyDescent="0.25"/>
  <cols>
    <col min="8" max="8" width="14.28515625" bestFit="1" customWidth="1"/>
  </cols>
  <sheetData>
    <row r="16" ht="15.75" thickBot="1" x14ac:dyDescent="0.3"/>
    <row r="17" spans="1:17" ht="15.75" thickBot="1" x14ac:dyDescent="0.3">
      <c r="A17" s="52"/>
      <c r="B17" s="138" t="s">
        <v>35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39"/>
    </row>
    <row r="18" spans="1:17" ht="15.75" thickBot="1" x14ac:dyDescent="0.3">
      <c r="A18" s="13" t="s">
        <v>36</v>
      </c>
      <c r="B18" s="148" t="s">
        <v>0</v>
      </c>
      <c r="C18" s="149"/>
      <c r="D18" s="146" t="s">
        <v>2</v>
      </c>
      <c r="E18" s="150"/>
      <c r="F18" s="148" t="s">
        <v>4</v>
      </c>
      <c r="G18" s="149"/>
      <c r="H18" s="146" t="s">
        <v>6</v>
      </c>
      <c r="I18" s="150"/>
      <c r="J18" s="148" t="s">
        <v>8</v>
      </c>
      <c r="K18" s="149"/>
      <c r="L18" s="148" t="s">
        <v>10</v>
      </c>
      <c r="M18" s="149"/>
      <c r="N18" s="146" t="s">
        <v>13</v>
      </c>
      <c r="O18" s="147"/>
    </row>
    <row r="19" spans="1:17" ht="15.75" thickBot="1" x14ac:dyDescent="0.3">
      <c r="A19" s="14" t="s">
        <v>12</v>
      </c>
      <c r="B19" s="15">
        <v>150</v>
      </c>
      <c r="C19" s="16">
        <v>0</v>
      </c>
      <c r="D19" s="87">
        <f>E19-Q19-E$33</f>
        <v>10.4</v>
      </c>
      <c r="E19" s="57">
        <v>0.4</v>
      </c>
      <c r="F19" s="26">
        <f>G19-Q19-G$33</f>
        <v>20.8</v>
      </c>
      <c r="G19" s="16">
        <v>0.8</v>
      </c>
      <c r="H19" s="87">
        <f>I19-Q19-I$33</f>
        <v>52.000000000000014</v>
      </c>
      <c r="I19" s="57">
        <v>1.2000000000000002</v>
      </c>
      <c r="J19" s="26">
        <f>K19-Q19-K$33</f>
        <v>52.000000000000007</v>
      </c>
      <c r="K19" s="16">
        <v>1.6</v>
      </c>
      <c r="L19" s="26">
        <f>M19-Q19-M$33</f>
        <v>52</v>
      </c>
      <c r="M19" s="16">
        <v>2</v>
      </c>
      <c r="N19" s="87">
        <f>O19-Q19-O33</f>
        <v>35.5</v>
      </c>
      <c r="O19" s="57">
        <v>0</v>
      </c>
      <c r="P19" s="61" t="s">
        <v>47</v>
      </c>
      <c r="Q19" s="62">
        <v>0</v>
      </c>
    </row>
    <row r="20" spans="1:17" x14ac:dyDescent="0.25">
      <c r="A20" s="17" t="s">
        <v>61</v>
      </c>
      <c r="B20" s="48">
        <v>3456</v>
      </c>
      <c r="C20" s="49">
        <v>14</v>
      </c>
      <c r="D20" s="82">
        <f t="shared" ref="D20:D21" si="0">E20-Q20-E$33</f>
        <v>10.4</v>
      </c>
      <c r="E20" s="60">
        <v>14.4</v>
      </c>
      <c r="F20" s="50">
        <f t="shared" ref="F20:F23" si="1">G20-Q20-G$33</f>
        <v>20.8</v>
      </c>
      <c r="G20" s="49">
        <v>14.8</v>
      </c>
      <c r="H20" s="82">
        <f t="shared" ref="H20:H25" si="2">I20-Q20-I$33</f>
        <v>52.000000000000014</v>
      </c>
      <c r="I20" s="60">
        <v>15.200000000000001</v>
      </c>
      <c r="J20" s="50">
        <f t="shared" ref="J20:J25" si="3">K20-Q20-K$33</f>
        <v>52.000000000000007</v>
      </c>
      <c r="K20" s="49">
        <v>15.600000000000001</v>
      </c>
      <c r="L20" s="50">
        <f t="shared" ref="L20:L27" si="4">M20-Q20-M$33</f>
        <v>52</v>
      </c>
      <c r="M20" s="49">
        <v>16</v>
      </c>
      <c r="N20" s="82">
        <f>O20-Q20-O33</f>
        <v>21.5</v>
      </c>
      <c r="O20" s="60">
        <v>0</v>
      </c>
      <c r="P20" s="63" t="s">
        <v>48</v>
      </c>
      <c r="Q20" s="64">
        <f>C20-C33</f>
        <v>14</v>
      </c>
    </row>
    <row r="21" spans="1:17" ht="15.75" thickBot="1" x14ac:dyDescent="0.3">
      <c r="A21" s="19" t="s">
        <v>62</v>
      </c>
      <c r="B21" s="77">
        <f>C21-Q21-C$33</f>
        <v>-20</v>
      </c>
      <c r="C21" s="78">
        <v>15.5</v>
      </c>
      <c r="D21" s="86">
        <f t="shared" si="0"/>
        <v>-9.6000000000000014</v>
      </c>
      <c r="E21" s="85">
        <v>15.9</v>
      </c>
      <c r="F21" s="77">
        <f t="shared" si="1"/>
        <v>0.80000000000000071</v>
      </c>
      <c r="G21" s="78">
        <v>16.3</v>
      </c>
      <c r="H21" s="86">
        <f t="shared" si="2"/>
        <v>32.000000000000014</v>
      </c>
      <c r="I21" s="85">
        <v>16.7</v>
      </c>
      <c r="J21" s="77">
        <f t="shared" si="3"/>
        <v>32.000000000000007</v>
      </c>
      <c r="K21" s="78">
        <v>17.100000000000001</v>
      </c>
      <c r="L21" s="77">
        <f t="shared" si="4"/>
        <v>32</v>
      </c>
      <c r="M21" s="78">
        <v>17.5</v>
      </c>
      <c r="N21" s="84">
        <v>864</v>
      </c>
      <c r="O21" s="85">
        <v>0</v>
      </c>
      <c r="P21" s="63" t="s">
        <v>50</v>
      </c>
      <c r="Q21" s="64">
        <f>O21-O33</f>
        <v>35.5</v>
      </c>
    </row>
    <row r="22" spans="1:17" x14ac:dyDescent="0.25">
      <c r="A22" s="17" t="s">
        <v>63</v>
      </c>
      <c r="B22" s="25">
        <f t="shared" ref="B22:B29" si="5">C22-Q22-C$33</f>
        <v>0</v>
      </c>
      <c r="C22" s="18">
        <v>24</v>
      </c>
      <c r="D22" s="80">
        <v>1344</v>
      </c>
      <c r="E22" s="58">
        <v>14</v>
      </c>
      <c r="F22" s="25">
        <f t="shared" si="1"/>
        <v>10.4</v>
      </c>
      <c r="G22" s="18">
        <v>14.4</v>
      </c>
      <c r="H22" s="83">
        <f t="shared" si="2"/>
        <v>41.600000000000009</v>
      </c>
      <c r="I22" s="58">
        <v>14.8</v>
      </c>
      <c r="J22" s="25">
        <f t="shared" si="3"/>
        <v>41.600000000000009</v>
      </c>
      <c r="K22" s="18">
        <v>15.200000000000001</v>
      </c>
      <c r="L22" s="25">
        <f t="shared" si="4"/>
        <v>41.6</v>
      </c>
      <c r="M22" s="18">
        <v>15.600000000000001</v>
      </c>
      <c r="N22" s="83">
        <f>O22-Q22-O33</f>
        <v>11.5</v>
      </c>
      <c r="O22" s="58">
        <v>0</v>
      </c>
      <c r="P22" s="63" t="s">
        <v>51</v>
      </c>
      <c r="Q22" s="64">
        <f>E22-E33</f>
        <v>24</v>
      </c>
    </row>
    <row r="23" spans="1:17" ht="15.75" thickBot="1" x14ac:dyDescent="0.3">
      <c r="A23" s="19" t="s">
        <v>68</v>
      </c>
      <c r="B23" s="24">
        <f t="shared" si="5"/>
        <v>-10</v>
      </c>
      <c r="C23" s="21">
        <v>25.5</v>
      </c>
      <c r="D23" s="39">
        <f>E23-Q23-E$33</f>
        <v>-10</v>
      </c>
      <c r="E23" s="59">
        <v>15.5</v>
      </c>
      <c r="F23" s="24">
        <f t="shared" si="1"/>
        <v>0.39999999999999858</v>
      </c>
      <c r="G23" s="21">
        <v>15.9</v>
      </c>
      <c r="H23" s="39">
        <f t="shared" si="2"/>
        <v>31.600000000000012</v>
      </c>
      <c r="I23" s="59">
        <v>16.3</v>
      </c>
      <c r="J23" s="24">
        <f t="shared" si="3"/>
        <v>31.600000000000005</v>
      </c>
      <c r="K23" s="21">
        <v>16.7</v>
      </c>
      <c r="L23" s="24">
        <f t="shared" si="4"/>
        <v>31.599999999999998</v>
      </c>
      <c r="M23" s="21">
        <v>17.099999999999998</v>
      </c>
      <c r="N23" s="45">
        <v>336</v>
      </c>
      <c r="O23" s="59">
        <v>0</v>
      </c>
      <c r="P23" s="63" t="s">
        <v>52</v>
      </c>
      <c r="Q23" s="64">
        <f>O23-O33</f>
        <v>35.5</v>
      </c>
    </row>
    <row r="24" spans="1:17" x14ac:dyDescent="0.25">
      <c r="A24" s="17" t="s">
        <v>67</v>
      </c>
      <c r="B24" s="50">
        <f t="shared" si="5"/>
        <v>0</v>
      </c>
      <c r="C24" s="49">
        <v>34</v>
      </c>
      <c r="D24" s="82">
        <f t="shared" ref="D24:D29" si="6">E24-Q24-E$33</f>
        <v>0</v>
      </c>
      <c r="E24" s="60">
        <v>24</v>
      </c>
      <c r="F24" s="48">
        <v>4032</v>
      </c>
      <c r="G24" s="49">
        <v>14</v>
      </c>
      <c r="H24" s="82">
        <f t="shared" si="2"/>
        <v>31.20000000000001</v>
      </c>
      <c r="I24" s="60">
        <v>14.4</v>
      </c>
      <c r="J24" s="50">
        <f t="shared" si="3"/>
        <v>31.200000000000006</v>
      </c>
      <c r="K24" s="49">
        <v>14.8</v>
      </c>
      <c r="L24" s="50">
        <f t="shared" si="4"/>
        <v>31.200000000000003</v>
      </c>
      <c r="M24" s="49">
        <v>15.200000000000001</v>
      </c>
      <c r="N24" s="82">
        <f>O24-Q24-O33</f>
        <v>1.5</v>
      </c>
      <c r="O24" s="60">
        <v>0</v>
      </c>
      <c r="P24" s="63" t="s">
        <v>53</v>
      </c>
      <c r="Q24" s="64">
        <f>G24-G33</f>
        <v>34</v>
      </c>
    </row>
    <row r="25" spans="1:17" ht="15.75" thickBot="1" x14ac:dyDescent="0.3">
      <c r="A25" s="19" t="s">
        <v>69</v>
      </c>
      <c r="B25" s="77">
        <f t="shared" si="5"/>
        <v>0</v>
      </c>
      <c r="C25" s="78">
        <v>35.5</v>
      </c>
      <c r="D25" s="86">
        <f t="shared" si="6"/>
        <v>0</v>
      </c>
      <c r="E25" s="85">
        <v>25.5</v>
      </c>
      <c r="F25" s="79">
        <v>403</v>
      </c>
      <c r="G25" s="78">
        <v>15.5</v>
      </c>
      <c r="H25" s="86">
        <f t="shared" si="2"/>
        <v>31.20000000000001</v>
      </c>
      <c r="I25" s="85">
        <v>15.9</v>
      </c>
      <c r="J25" s="77">
        <f t="shared" si="3"/>
        <v>31.200000000000006</v>
      </c>
      <c r="K25" s="78">
        <v>16.3</v>
      </c>
      <c r="L25" s="77">
        <f t="shared" si="4"/>
        <v>31.2</v>
      </c>
      <c r="M25" s="78">
        <v>16.7</v>
      </c>
      <c r="N25" s="84">
        <v>605</v>
      </c>
      <c r="O25" s="85">
        <v>0</v>
      </c>
      <c r="P25" s="63" t="s">
        <v>54</v>
      </c>
      <c r="Q25" s="64">
        <f>G25-G33</f>
        <v>35.5</v>
      </c>
    </row>
    <row r="26" spans="1:17" x14ac:dyDescent="0.25">
      <c r="A26" s="17" t="s">
        <v>64</v>
      </c>
      <c r="B26" s="25">
        <f t="shared" si="5"/>
        <v>-20.800000000000011</v>
      </c>
      <c r="C26" s="18">
        <v>44</v>
      </c>
      <c r="D26" s="83">
        <f t="shared" si="6"/>
        <v>-20.800000000000011</v>
      </c>
      <c r="E26" s="58">
        <v>34</v>
      </c>
      <c r="F26" s="25">
        <f>G26-Q26-G$33</f>
        <v>-20.800000000000011</v>
      </c>
      <c r="G26" s="18">
        <v>24</v>
      </c>
      <c r="H26" s="80">
        <v>4073</v>
      </c>
      <c r="I26" s="58">
        <v>14</v>
      </c>
      <c r="J26" s="9">
        <v>343</v>
      </c>
      <c r="K26" s="18">
        <v>14.4</v>
      </c>
      <c r="L26" s="25">
        <f t="shared" si="4"/>
        <v>0</v>
      </c>
      <c r="M26" s="18">
        <v>14.8</v>
      </c>
      <c r="N26" s="83">
        <f>O26-Q26-O33</f>
        <v>-29.300000000000011</v>
      </c>
      <c r="O26" s="58">
        <v>0</v>
      </c>
      <c r="P26" s="63" t="s">
        <v>49</v>
      </c>
      <c r="Q26" s="64">
        <f>K26-K33</f>
        <v>64.800000000000011</v>
      </c>
    </row>
    <row r="27" spans="1:17" ht="15.75" thickBot="1" x14ac:dyDescent="0.3">
      <c r="A27" s="19" t="s">
        <v>70</v>
      </c>
      <c r="B27" s="24">
        <f t="shared" si="5"/>
        <v>-20.800000000000011</v>
      </c>
      <c r="C27" s="21">
        <v>45.5</v>
      </c>
      <c r="D27" s="39">
        <f t="shared" si="6"/>
        <v>-20.800000000000011</v>
      </c>
      <c r="E27" s="59">
        <v>35.5</v>
      </c>
      <c r="F27" s="24">
        <f t="shared" ref="F27:F29" si="7">G27-Q27-G$33</f>
        <v>-20.800000000000011</v>
      </c>
      <c r="G27" s="21">
        <v>25.5</v>
      </c>
      <c r="H27" s="45">
        <v>1104</v>
      </c>
      <c r="I27" s="59">
        <v>15.5</v>
      </c>
      <c r="J27" s="24">
        <f>K27-Q27-K33</f>
        <v>0</v>
      </c>
      <c r="K27" s="21">
        <v>15.9</v>
      </c>
      <c r="L27" s="24">
        <f t="shared" si="4"/>
        <v>0</v>
      </c>
      <c r="M27" s="21">
        <v>16.3</v>
      </c>
      <c r="N27" s="89">
        <f>O27-Q27-O33</f>
        <v>-30.800000000000011</v>
      </c>
      <c r="O27" s="59">
        <v>0</v>
      </c>
      <c r="P27" s="63" t="s">
        <v>55</v>
      </c>
      <c r="Q27" s="64">
        <f>I27-I33</f>
        <v>66.300000000000011</v>
      </c>
    </row>
    <row r="28" spans="1:17" x14ac:dyDescent="0.25">
      <c r="A28" s="17" t="s">
        <v>65</v>
      </c>
      <c r="B28" s="25">
        <f t="shared" si="5"/>
        <v>-10.400000000000006</v>
      </c>
      <c r="C28" s="18">
        <v>54</v>
      </c>
      <c r="D28" s="83">
        <f t="shared" si="6"/>
        <v>-10.400000000000006</v>
      </c>
      <c r="E28" s="58">
        <v>44</v>
      </c>
      <c r="F28" s="25">
        <f t="shared" si="7"/>
        <v>-10.400000000000006</v>
      </c>
      <c r="G28" s="18">
        <v>34</v>
      </c>
      <c r="H28" s="83">
        <f>I28-Q28-I$33</f>
        <v>10.400000000000006</v>
      </c>
      <c r="I28" s="58">
        <v>24</v>
      </c>
      <c r="J28" s="9">
        <v>3243</v>
      </c>
      <c r="K28" s="18">
        <v>14</v>
      </c>
      <c r="L28" s="9">
        <v>789</v>
      </c>
      <c r="M28" s="18">
        <v>14.4</v>
      </c>
      <c r="N28" s="83">
        <f>O28-Q28-O33</f>
        <v>-28.900000000000006</v>
      </c>
      <c r="O28" s="58">
        <v>0</v>
      </c>
      <c r="P28" s="63" t="s">
        <v>56</v>
      </c>
      <c r="Q28" s="64">
        <f>M28-M33</f>
        <v>64.400000000000006</v>
      </c>
    </row>
    <row r="29" spans="1:17" ht="15.75" thickBot="1" x14ac:dyDescent="0.3">
      <c r="A29" s="19" t="s">
        <v>71</v>
      </c>
      <c r="B29" s="24">
        <f t="shared" si="5"/>
        <v>-10.400000000000006</v>
      </c>
      <c r="C29" s="21">
        <v>55.5</v>
      </c>
      <c r="D29" s="39">
        <f t="shared" si="6"/>
        <v>-10.400000000000006</v>
      </c>
      <c r="E29" s="59">
        <v>45.5</v>
      </c>
      <c r="F29" s="24">
        <f t="shared" si="7"/>
        <v>-10.400000000000006</v>
      </c>
      <c r="G29" s="21">
        <v>35.5</v>
      </c>
      <c r="H29" s="39">
        <f t="shared" ref="H29:H31" si="8">I29-Q29-I$33</f>
        <v>10.400000000000006</v>
      </c>
      <c r="I29" s="59">
        <v>25.5</v>
      </c>
      <c r="J29" s="20">
        <v>1008</v>
      </c>
      <c r="K29" s="21">
        <v>15.5</v>
      </c>
      <c r="L29" s="24">
        <f>M29-Q29-M33</f>
        <v>0</v>
      </c>
      <c r="M29" s="21">
        <v>15.9</v>
      </c>
      <c r="N29" s="39">
        <f>O29-Q29-O33</f>
        <v>-30.400000000000006</v>
      </c>
      <c r="O29" s="59">
        <v>0</v>
      </c>
      <c r="P29" s="63" t="s">
        <v>57</v>
      </c>
      <c r="Q29" s="64">
        <f>K29-K33</f>
        <v>65.900000000000006</v>
      </c>
    </row>
    <row r="30" spans="1:17" x14ac:dyDescent="0.25">
      <c r="A30" s="17" t="s">
        <v>66</v>
      </c>
      <c r="B30" s="48">
        <v>699</v>
      </c>
      <c r="C30" s="49">
        <v>64</v>
      </c>
      <c r="D30" s="81">
        <v>1181</v>
      </c>
      <c r="E30" s="60">
        <v>54</v>
      </c>
      <c r="F30" s="90">
        <v>55</v>
      </c>
      <c r="G30" s="49">
        <v>44</v>
      </c>
      <c r="H30" s="82">
        <f t="shared" si="8"/>
        <v>20.800000000000011</v>
      </c>
      <c r="I30" s="60">
        <v>34</v>
      </c>
      <c r="J30" s="50">
        <f>K30-Q30-K33</f>
        <v>10.400000000000006</v>
      </c>
      <c r="K30" s="49">
        <v>24</v>
      </c>
      <c r="L30" s="48">
        <v>1905</v>
      </c>
      <c r="M30" s="49">
        <v>14</v>
      </c>
      <c r="N30" s="82">
        <f>O30-Q30-O33</f>
        <v>-28.5</v>
      </c>
      <c r="O30" s="60">
        <v>0</v>
      </c>
      <c r="P30" s="63" t="s">
        <v>58</v>
      </c>
      <c r="Q30" s="64">
        <f>C30-C33</f>
        <v>64</v>
      </c>
    </row>
    <row r="31" spans="1:17" ht="15.75" thickBot="1" x14ac:dyDescent="0.3">
      <c r="A31" s="19" t="s">
        <v>72</v>
      </c>
      <c r="B31" s="24">
        <f>C31-Q31-C33</f>
        <v>0</v>
      </c>
      <c r="C31" s="21">
        <v>65.5</v>
      </c>
      <c r="D31" s="39">
        <f>E31-Q31-E33</f>
        <v>0</v>
      </c>
      <c r="E31" s="59">
        <v>55.5</v>
      </c>
      <c r="F31" s="24">
        <f>G31-Q31-G33</f>
        <v>0</v>
      </c>
      <c r="G31" s="21">
        <v>45.5</v>
      </c>
      <c r="H31" s="39">
        <f t="shared" si="8"/>
        <v>20.800000000000011</v>
      </c>
      <c r="I31" s="59">
        <v>35.5</v>
      </c>
      <c r="J31" s="24">
        <f>K31-Q31-K33</f>
        <v>10.400000000000006</v>
      </c>
      <c r="K31" s="21">
        <v>25.5</v>
      </c>
      <c r="L31" s="20">
        <v>960</v>
      </c>
      <c r="M31" s="21">
        <v>15.5</v>
      </c>
      <c r="N31" s="39">
        <f>O31-Q31-O33</f>
        <v>-30</v>
      </c>
      <c r="O31" s="59">
        <v>0</v>
      </c>
      <c r="P31" s="65" t="s">
        <v>59</v>
      </c>
      <c r="Q31" s="66">
        <f>M31-M33</f>
        <v>65.5</v>
      </c>
    </row>
    <row r="32" spans="1:17" ht="15.75" thickBot="1" x14ac:dyDescent="0.3"/>
    <row r="33" spans="2:15" ht="15.75" thickBot="1" x14ac:dyDescent="0.3">
      <c r="B33" s="91" t="s">
        <v>40</v>
      </c>
      <c r="C33" s="92">
        <f>C19-Q19</f>
        <v>0</v>
      </c>
      <c r="D33" s="93" t="s">
        <v>41</v>
      </c>
      <c r="E33" s="92">
        <f>E30-Q30</f>
        <v>-10</v>
      </c>
      <c r="F33" s="93" t="s">
        <v>42</v>
      </c>
      <c r="G33" s="92">
        <f>G30-Q30</f>
        <v>-20</v>
      </c>
      <c r="H33" s="93" t="s">
        <v>43</v>
      </c>
      <c r="I33" s="92">
        <f>I26-Q26</f>
        <v>-50.800000000000011</v>
      </c>
      <c r="J33" s="93" t="s">
        <v>44</v>
      </c>
      <c r="K33" s="92">
        <f>K28-Q28</f>
        <v>-50.400000000000006</v>
      </c>
      <c r="L33" s="93" t="s">
        <v>45</v>
      </c>
      <c r="M33" s="92">
        <f>M30-Q30</f>
        <v>-50</v>
      </c>
      <c r="N33" s="93" t="s">
        <v>46</v>
      </c>
      <c r="O33" s="94">
        <f>O25-Q25</f>
        <v>-35.5</v>
      </c>
    </row>
    <row r="36" spans="2:15" ht="15.75" thickBot="1" x14ac:dyDescent="0.3"/>
    <row r="37" spans="2:15" ht="15.75" thickBot="1" x14ac:dyDescent="0.3">
      <c r="G37" s="14" t="s">
        <v>39</v>
      </c>
      <c r="H37" s="73">
        <f>SUM(B19*C19+B20*C20+B30*C30+D22*E22+D30*E30+F24*G24+F25*G25+F30*G30+H26*I26+H27*I27+J26*K26+J28*K28+J29*K29+L28*M28+L30*M30+L31*M31+N25*O25+N23*O23+N21*O21)</f>
        <v>433835.3</v>
      </c>
    </row>
  </sheetData>
  <mergeCells count="8">
    <mergeCell ref="B17:O17"/>
    <mergeCell ref="N18:O18"/>
    <mergeCell ref="B18:C18"/>
    <mergeCell ref="D18:E18"/>
    <mergeCell ref="F18:G18"/>
    <mergeCell ref="H18:I18"/>
    <mergeCell ref="J18:K18"/>
    <mergeCell ref="L18:M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Q39"/>
  <sheetViews>
    <sheetView topLeftCell="A16" zoomScale="75" zoomScaleNormal="75" workbookViewId="0">
      <selection activeCell="A19" sqref="A19:Q39"/>
    </sheetView>
  </sheetViews>
  <sheetFormatPr baseColWidth="10" defaultRowHeight="15" x14ac:dyDescent="0.25"/>
  <cols>
    <col min="8" max="8" width="14.28515625" bestFit="1" customWidth="1"/>
  </cols>
  <sheetData>
    <row r="18" spans="1:17" ht="15.75" thickBot="1" x14ac:dyDescent="0.3"/>
    <row r="19" spans="1:17" ht="15.75" thickBot="1" x14ac:dyDescent="0.3">
      <c r="A19" s="52"/>
      <c r="B19" s="138" t="s">
        <v>35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39"/>
    </row>
    <row r="20" spans="1:17" ht="15.75" thickBot="1" x14ac:dyDescent="0.3">
      <c r="A20" s="13" t="s">
        <v>36</v>
      </c>
      <c r="B20" s="148" t="s">
        <v>0</v>
      </c>
      <c r="C20" s="149"/>
      <c r="D20" s="146" t="s">
        <v>2</v>
      </c>
      <c r="E20" s="150"/>
      <c r="F20" s="148" t="s">
        <v>4</v>
      </c>
      <c r="G20" s="149"/>
      <c r="H20" s="146" t="s">
        <v>6</v>
      </c>
      <c r="I20" s="150"/>
      <c r="J20" s="148" t="s">
        <v>8</v>
      </c>
      <c r="K20" s="149"/>
      <c r="L20" s="146" t="s">
        <v>10</v>
      </c>
      <c r="M20" s="150"/>
      <c r="N20" s="148" t="s">
        <v>13</v>
      </c>
      <c r="O20" s="149"/>
    </row>
    <row r="21" spans="1:17" ht="15.75" thickBot="1" x14ac:dyDescent="0.3">
      <c r="A21" s="14" t="s">
        <v>12</v>
      </c>
      <c r="B21" s="15">
        <v>150</v>
      </c>
      <c r="C21" s="16">
        <f>-Q21</f>
        <v>0</v>
      </c>
      <c r="D21" s="87">
        <f>E21-Q21-E$35</f>
        <v>10.4</v>
      </c>
      <c r="E21" s="57">
        <v>0.4</v>
      </c>
      <c r="F21" s="26">
        <f>G21-Q21-G$35</f>
        <v>51.600000000000009</v>
      </c>
      <c r="G21" s="16">
        <v>0.8</v>
      </c>
      <c r="H21" s="87">
        <f>I21-Q21-I$35</f>
        <v>52.000000000000014</v>
      </c>
      <c r="I21" s="57">
        <v>1.2000000000000002</v>
      </c>
      <c r="J21" s="26">
        <f>K21-Q21-K$35</f>
        <v>52.000000000000007</v>
      </c>
      <c r="K21" s="16">
        <v>1.6</v>
      </c>
      <c r="L21" s="87">
        <f>M21-Q21-M$35</f>
        <v>52</v>
      </c>
      <c r="M21" s="57">
        <v>2</v>
      </c>
      <c r="N21" s="26">
        <f>O21-Q21-O35</f>
        <v>66.300000000000011</v>
      </c>
      <c r="O21" s="57">
        <v>0</v>
      </c>
      <c r="P21" s="61" t="s">
        <v>47</v>
      </c>
      <c r="Q21" s="62">
        <v>0</v>
      </c>
    </row>
    <row r="22" spans="1:17" x14ac:dyDescent="0.25">
      <c r="A22" s="17" t="s">
        <v>61</v>
      </c>
      <c r="B22" s="48">
        <v>3456</v>
      </c>
      <c r="C22" s="49">
        <v>14</v>
      </c>
      <c r="D22" s="82">
        <f t="shared" ref="D22:D23" si="0">E22-Q22-E$35</f>
        <v>10.4</v>
      </c>
      <c r="E22" s="60">
        <v>14.4</v>
      </c>
      <c r="F22" s="50">
        <f t="shared" ref="F22:F25" si="1">G22-Q22-G$35</f>
        <v>51.600000000000009</v>
      </c>
      <c r="G22" s="49">
        <v>14.8</v>
      </c>
      <c r="H22" s="82">
        <f t="shared" ref="H22:H27" si="2">I22-Q22-I$35</f>
        <v>52.000000000000014</v>
      </c>
      <c r="I22" s="60">
        <v>15.200000000000001</v>
      </c>
      <c r="J22" s="50">
        <f t="shared" ref="J22:J27" si="3">K22-Q22-K$35</f>
        <v>52.000000000000007</v>
      </c>
      <c r="K22" s="49">
        <v>15.600000000000001</v>
      </c>
      <c r="L22" s="82">
        <f t="shared" ref="L22:L29" si="4">M22-Q22-M$35</f>
        <v>52</v>
      </c>
      <c r="M22" s="60">
        <v>16</v>
      </c>
      <c r="N22" s="50">
        <f>O22-Q22-O35</f>
        <v>52.300000000000011</v>
      </c>
      <c r="O22" s="60">
        <v>0</v>
      </c>
      <c r="P22" s="63" t="s">
        <v>48</v>
      </c>
      <c r="Q22" s="64">
        <f>C22-C35</f>
        <v>14</v>
      </c>
    </row>
    <row r="23" spans="1:17" ht="15.75" thickBot="1" x14ac:dyDescent="0.3">
      <c r="A23" s="19" t="s">
        <v>62</v>
      </c>
      <c r="B23" s="88">
        <f>C23-Q23-C$35</f>
        <v>-50.800000000000011</v>
      </c>
      <c r="C23" s="78">
        <v>15.5</v>
      </c>
      <c r="D23" s="86">
        <f t="shared" si="0"/>
        <v>-40.400000000000013</v>
      </c>
      <c r="E23" s="85">
        <v>15.9</v>
      </c>
      <c r="F23" s="77">
        <f t="shared" si="1"/>
        <v>0.79999999999999716</v>
      </c>
      <c r="G23" s="78">
        <v>16.3</v>
      </c>
      <c r="H23" s="86">
        <f t="shared" si="2"/>
        <v>1.2000000000000028</v>
      </c>
      <c r="I23" s="85">
        <v>16.7</v>
      </c>
      <c r="J23" s="77">
        <f t="shared" si="3"/>
        <v>1.1999999999999957</v>
      </c>
      <c r="K23" s="78">
        <v>17.100000000000001</v>
      </c>
      <c r="L23" s="86">
        <f t="shared" si="4"/>
        <v>1.1999999999999886</v>
      </c>
      <c r="M23" s="85">
        <v>17.5</v>
      </c>
      <c r="N23" s="79">
        <v>864</v>
      </c>
      <c r="O23" s="85">
        <v>0</v>
      </c>
      <c r="P23" s="63" t="s">
        <v>50</v>
      </c>
      <c r="Q23" s="64">
        <f>O23-O35</f>
        <v>66.300000000000011</v>
      </c>
    </row>
    <row r="24" spans="1:17" x14ac:dyDescent="0.25">
      <c r="A24" s="17" t="s">
        <v>63</v>
      </c>
      <c r="B24" s="25">
        <f t="shared" ref="B24:B30" si="5">C24-Q24-C$35</f>
        <v>0</v>
      </c>
      <c r="C24" s="18">
        <v>24</v>
      </c>
      <c r="D24" s="80">
        <v>1344</v>
      </c>
      <c r="E24" s="58">
        <v>14</v>
      </c>
      <c r="F24" s="25">
        <f t="shared" si="1"/>
        <v>41.20000000000001</v>
      </c>
      <c r="G24" s="18">
        <v>14.4</v>
      </c>
      <c r="H24" s="83">
        <f t="shared" si="2"/>
        <v>41.600000000000009</v>
      </c>
      <c r="I24" s="58">
        <v>14.8</v>
      </c>
      <c r="J24" s="25">
        <f t="shared" si="3"/>
        <v>41.600000000000009</v>
      </c>
      <c r="K24" s="18">
        <v>15.200000000000001</v>
      </c>
      <c r="L24" s="83">
        <f t="shared" si="4"/>
        <v>41.6</v>
      </c>
      <c r="M24" s="58">
        <v>15.600000000000001</v>
      </c>
      <c r="N24" s="25">
        <f>O24-Q24-O35</f>
        <v>42.300000000000011</v>
      </c>
      <c r="O24" s="58">
        <v>0</v>
      </c>
      <c r="P24" s="63" t="s">
        <v>51</v>
      </c>
      <c r="Q24" s="64">
        <f>E24-E35</f>
        <v>24</v>
      </c>
    </row>
    <row r="25" spans="1:17" ht="15.75" thickBot="1" x14ac:dyDescent="0.3">
      <c r="A25" s="19" t="s">
        <v>68</v>
      </c>
      <c r="B25" s="24">
        <f t="shared" si="5"/>
        <v>-40.800000000000011</v>
      </c>
      <c r="C25" s="21">
        <v>25.5</v>
      </c>
      <c r="D25" s="39">
        <f>E25-Q25-E$35</f>
        <v>-40.800000000000011</v>
      </c>
      <c r="E25" s="59">
        <v>15.5</v>
      </c>
      <c r="F25" s="24">
        <f t="shared" si="1"/>
        <v>0.39999999999999858</v>
      </c>
      <c r="G25" s="21">
        <v>15.9</v>
      </c>
      <c r="H25" s="39">
        <f t="shared" si="2"/>
        <v>0.79999999999999716</v>
      </c>
      <c r="I25" s="59">
        <v>16.3</v>
      </c>
      <c r="J25" s="24">
        <f t="shared" si="3"/>
        <v>0.79999999999999716</v>
      </c>
      <c r="K25" s="21">
        <v>16.7</v>
      </c>
      <c r="L25" s="39">
        <f t="shared" si="4"/>
        <v>0.79999999999998295</v>
      </c>
      <c r="M25" s="59">
        <v>17.099999999999998</v>
      </c>
      <c r="N25" s="20">
        <v>336</v>
      </c>
      <c r="O25" s="59">
        <v>0</v>
      </c>
      <c r="P25" s="63" t="s">
        <v>52</v>
      </c>
      <c r="Q25" s="64">
        <f>O25-O35</f>
        <v>66.300000000000011</v>
      </c>
    </row>
    <row r="26" spans="1:17" x14ac:dyDescent="0.25">
      <c r="A26" s="17" t="s">
        <v>67</v>
      </c>
      <c r="B26" s="50">
        <f t="shared" si="5"/>
        <v>-30.800000000000011</v>
      </c>
      <c r="C26" s="49">
        <v>34</v>
      </c>
      <c r="D26" s="82">
        <f t="shared" ref="D26:D31" si="6">E26-Q26-E$35</f>
        <v>-30.800000000000011</v>
      </c>
      <c r="E26" s="60">
        <v>24</v>
      </c>
      <c r="F26" s="48">
        <v>4032</v>
      </c>
      <c r="G26" s="49">
        <v>14</v>
      </c>
      <c r="H26" s="82">
        <f t="shared" si="2"/>
        <v>0.39999999999999858</v>
      </c>
      <c r="I26" s="60">
        <v>14.4</v>
      </c>
      <c r="J26" s="50">
        <f t="shared" si="3"/>
        <v>0.39999999999999147</v>
      </c>
      <c r="K26" s="49">
        <v>14.8</v>
      </c>
      <c r="L26" s="82">
        <f t="shared" si="4"/>
        <v>0.39999999999999147</v>
      </c>
      <c r="M26" s="60">
        <v>15.200000000000001</v>
      </c>
      <c r="N26" s="50">
        <f>O26-Q26-O35</f>
        <v>1.5</v>
      </c>
      <c r="O26" s="60">
        <v>0</v>
      </c>
      <c r="P26" s="63" t="s">
        <v>53</v>
      </c>
      <c r="Q26" s="64">
        <f>G26-G35</f>
        <v>64.800000000000011</v>
      </c>
    </row>
    <row r="27" spans="1:17" ht="15.75" thickBot="1" x14ac:dyDescent="0.3">
      <c r="A27" s="19" t="s">
        <v>69</v>
      </c>
      <c r="B27" s="77">
        <f t="shared" si="5"/>
        <v>-30.800000000000011</v>
      </c>
      <c r="C27" s="78">
        <v>35.5</v>
      </c>
      <c r="D27" s="86">
        <f t="shared" si="6"/>
        <v>-30.800000000000011</v>
      </c>
      <c r="E27" s="85">
        <v>25.5</v>
      </c>
      <c r="F27" s="79">
        <f>403+55</f>
        <v>458</v>
      </c>
      <c r="G27" s="78">
        <v>15.5</v>
      </c>
      <c r="H27" s="86">
        <f t="shared" si="2"/>
        <v>0.39999999999999858</v>
      </c>
      <c r="I27" s="85">
        <v>15.9</v>
      </c>
      <c r="J27" s="77">
        <f t="shared" si="3"/>
        <v>0.39999999999999147</v>
      </c>
      <c r="K27" s="78">
        <v>16.3</v>
      </c>
      <c r="L27" s="86">
        <f t="shared" si="4"/>
        <v>0.39999999999999147</v>
      </c>
      <c r="M27" s="85">
        <v>16.7</v>
      </c>
      <c r="N27" s="79">
        <f>605-55</f>
        <v>550</v>
      </c>
      <c r="O27" s="85">
        <v>0</v>
      </c>
      <c r="P27" s="63" t="s">
        <v>54</v>
      </c>
      <c r="Q27" s="64">
        <f>O27-O35</f>
        <v>66.300000000000011</v>
      </c>
    </row>
    <row r="28" spans="1:17" x14ac:dyDescent="0.25">
      <c r="A28" s="17" t="s">
        <v>64</v>
      </c>
      <c r="B28" s="25">
        <f t="shared" si="5"/>
        <v>-20.800000000000011</v>
      </c>
      <c r="C28" s="18">
        <v>44</v>
      </c>
      <c r="D28" s="83">
        <f t="shared" si="6"/>
        <v>-20.800000000000011</v>
      </c>
      <c r="E28" s="58">
        <v>34</v>
      </c>
      <c r="F28" s="25">
        <f>G28-Q28-G$35</f>
        <v>10</v>
      </c>
      <c r="G28" s="18">
        <v>24</v>
      </c>
      <c r="H28" s="80">
        <f>4073+55</f>
        <v>4128</v>
      </c>
      <c r="I28" s="58">
        <v>14</v>
      </c>
      <c r="J28" s="29">
        <f>343-55</f>
        <v>288</v>
      </c>
      <c r="K28" s="18">
        <v>14.4</v>
      </c>
      <c r="L28" s="83">
        <f t="shared" si="4"/>
        <v>0</v>
      </c>
      <c r="M28" s="58">
        <v>14.8</v>
      </c>
      <c r="N28" s="25">
        <f>O28-Q28-O35</f>
        <v>1.5</v>
      </c>
      <c r="O28" s="58">
        <v>0</v>
      </c>
      <c r="P28" s="63" t="s">
        <v>49</v>
      </c>
      <c r="Q28" s="64">
        <f>K28-K35</f>
        <v>64.800000000000011</v>
      </c>
    </row>
    <row r="29" spans="1:17" ht="15.75" thickBot="1" x14ac:dyDescent="0.3">
      <c r="A29" s="19" t="s">
        <v>70</v>
      </c>
      <c r="B29" s="24">
        <f t="shared" si="5"/>
        <v>-20.800000000000011</v>
      </c>
      <c r="C29" s="21">
        <v>45.5</v>
      </c>
      <c r="D29" s="39">
        <f t="shared" si="6"/>
        <v>-20.800000000000011</v>
      </c>
      <c r="E29" s="59">
        <v>35.5</v>
      </c>
      <c r="F29" s="24">
        <f t="shared" ref="F29:F33" si="7">G29-Q29-G$35</f>
        <v>10</v>
      </c>
      <c r="G29" s="21">
        <v>25.5</v>
      </c>
      <c r="H29" s="45">
        <f>1104-55</f>
        <v>1049</v>
      </c>
      <c r="I29" s="59">
        <v>15.5</v>
      </c>
      <c r="J29" s="24">
        <f>K29-Q29-K35</f>
        <v>0</v>
      </c>
      <c r="K29" s="21">
        <v>15.9</v>
      </c>
      <c r="L29" s="39">
        <f t="shared" si="4"/>
        <v>0</v>
      </c>
      <c r="M29" s="59">
        <v>16.3</v>
      </c>
      <c r="N29" s="20">
        <v>55</v>
      </c>
      <c r="O29" s="59">
        <v>0</v>
      </c>
      <c r="P29" s="63" t="s">
        <v>55</v>
      </c>
      <c r="Q29" s="64">
        <f>I29-I35</f>
        <v>66.300000000000011</v>
      </c>
    </row>
    <row r="30" spans="1:17" x14ac:dyDescent="0.25">
      <c r="A30" s="17" t="s">
        <v>65</v>
      </c>
      <c r="B30" s="50">
        <f t="shared" si="5"/>
        <v>-10.400000000000006</v>
      </c>
      <c r="C30" s="49">
        <v>54</v>
      </c>
      <c r="D30" s="82">
        <f t="shared" si="6"/>
        <v>-10.400000000000006</v>
      </c>
      <c r="E30" s="60">
        <v>44</v>
      </c>
      <c r="F30" s="50">
        <f t="shared" si="7"/>
        <v>20.400000000000006</v>
      </c>
      <c r="G30" s="49">
        <v>34</v>
      </c>
      <c r="H30" s="82">
        <f>I30-Q30-I$35</f>
        <v>10.400000000000006</v>
      </c>
      <c r="I30" s="60">
        <v>24</v>
      </c>
      <c r="J30" s="48">
        <f>3243+55</f>
        <v>3298</v>
      </c>
      <c r="K30" s="49">
        <v>14</v>
      </c>
      <c r="L30" s="81">
        <f>789-55</f>
        <v>734</v>
      </c>
      <c r="M30" s="60">
        <v>14.4</v>
      </c>
      <c r="N30" s="50">
        <f>O30-Q30-O$35</f>
        <v>1.9000000000000057</v>
      </c>
      <c r="O30" s="60">
        <v>0</v>
      </c>
      <c r="P30" s="63" t="s">
        <v>56</v>
      </c>
      <c r="Q30" s="64">
        <f>M30-M35</f>
        <v>64.400000000000006</v>
      </c>
    </row>
    <row r="31" spans="1:17" ht="15.75" thickBot="1" x14ac:dyDescent="0.3">
      <c r="A31" s="19" t="s">
        <v>71</v>
      </c>
      <c r="B31" s="77">
        <f>C31-Q31-C$35</f>
        <v>-10.400000000000006</v>
      </c>
      <c r="C31" s="78">
        <v>55.5</v>
      </c>
      <c r="D31" s="86">
        <f t="shared" si="6"/>
        <v>-10.400000000000006</v>
      </c>
      <c r="E31" s="85">
        <v>45.5</v>
      </c>
      <c r="F31" s="77">
        <f t="shared" si="7"/>
        <v>20.400000000000006</v>
      </c>
      <c r="G31" s="78">
        <v>35.5</v>
      </c>
      <c r="H31" s="86">
        <f t="shared" ref="H31:H33" si="8">I31-Q31-I$35</f>
        <v>10.400000000000006</v>
      </c>
      <c r="I31" s="85">
        <v>25.5</v>
      </c>
      <c r="J31" s="79">
        <v>1008</v>
      </c>
      <c r="K31" s="78">
        <v>15.5</v>
      </c>
      <c r="L31" s="86">
        <f>M31-Q31-M35</f>
        <v>0</v>
      </c>
      <c r="M31" s="85">
        <v>15.9</v>
      </c>
      <c r="N31" s="77">
        <f t="shared" ref="N31:N33" si="9">O31-Q31-O$35</f>
        <v>0.40000000000000568</v>
      </c>
      <c r="O31" s="85">
        <v>0</v>
      </c>
      <c r="P31" s="63" t="s">
        <v>57</v>
      </c>
      <c r="Q31" s="64">
        <f>K31-K35</f>
        <v>65.900000000000006</v>
      </c>
    </row>
    <row r="32" spans="1:17" x14ac:dyDescent="0.25">
      <c r="A32" s="17" t="s">
        <v>66</v>
      </c>
      <c r="B32" s="9">
        <v>699</v>
      </c>
      <c r="C32" s="18">
        <v>64</v>
      </c>
      <c r="D32" s="80">
        <v>1181</v>
      </c>
      <c r="E32" s="58">
        <v>54</v>
      </c>
      <c r="F32" s="25">
        <f t="shared" si="7"/>
        <v>30.800000000000011</v>
      </c>
      <c r="G32" s="18">
        <v>44</v>
      </c>
      <c r="H32" s="83">
        <f t="shared" si="8"/>
        <v>20.800000000000011</v>
      </c>
      <c r="I32" s="58">
        <v>34</v>
      </c>
      <c r="J32" s="25">
        <f>K32-Q32-I35</f>
        <v>10.800000000000011</v>
      </c>
      <c r="K32" s="18">
        <v>24</v>
      </c>
      <c r="L32" s="80">
        <f>1905+55</f>
        <v>1960</v>
      </c>
      <c r="M32" s="58">
        <v>14</v>
      </c>
      <c r="N32" s="25">
        <f t="shared" si="9"/>
        <v>2.3000000000000114</v>
      </c>
      <c r="O32" s="58">
        <v>0</v>
      </c>
      <c r="P32" s="63" t="s">
        <v>58</v>
      </c>
      <c r="Q32" s="64">
        <f>C32-C35</f>
        <v>64</v>
      </c>
    </row>
    <row r="33" spans="1:17" ht="15.75" thickBot="1" x14ac:dyDescent="0.3">
      <c r="A33" s="19" t="s">
        <v>72</v>
      </c>
      <c r="B33" s="24">
        <f>C33-Q33-C35</f>
        <v>0</v>
      </c>
      <c r="C33" s="21">
        <v>65.5</v>
      </c>
      <c r="D33" s="39">
        <f>E33-Q33-E35</f>
        <v>0</v>
      </c>
      <c r="E33" s="59">
        <v>55.5</v>
      </c>
      <c r="F33" s="24">
        <f t="shared" si="7"/>
        <v>30.800000000000011</v>
      </c>
      <c r="G33" s="21">
        <v>45.5</v>
      </c>
      <c r="H33" s="39">
        <f t="shared" si="8"/>
        <v>20.800000000000011</v>
      </c>
      <c r="I33" s="59">
        <v>35.5</v>
      </c>
      <c r="J33" s="24">
        <f>K33-Q33-K35</f>
        <v>10.400000000000006</v>
      </c>
      <c r="K33" s="21">
        <v>25.5</v>
      </c>
      <c r="L33" s="45">
        <v>960</v>
      </c>
      <c r="M33" s="59">
        <v>15.5</v>
      </c>
      <c r="N33" s="24">
        <f t="shared" si="9"/>
        <v>0.80000000000001137</v>
      </c>
      <c r="O33" s="59">
        <v>0</v>
      </c>
      <c r="P33" s="65" t="s">
        <v>59</v>
      </c>
      <c r="Q33" s="66">
        <f>M33-M35</f>
        <v>65.5</v>
      </c>
    </row>
    <row r="34" spans="1:17" ht="15.75" thickBot="1" x14ac:dyDescent="0.3"/>
    <row r="35" spans="1:17" ht="15.75" thickBot="1" x14ac:dyDescent="0.3">
      <c r="B35" s="67" t="s">
        <v>40</v>
      </c>
      <c r="C35" s="68">
        <f>C21-Q21</f>
        <v>0</v>
      </c>
      <c r="D35" s="69" t="s">
        <v>41</v>
      </c>
      <c r="E35" s="68">
        <f>E32-Q32</f>
        <v>-10</v>
      </c>
      <c r="F35" s="69" t="s">
        <v>42</v>
      </c>
      <c r="G35" s="68">
        <f>G27-Q27</f>
        <v>-50.800000000000011</v>
      </c>
      <c r="H35" s="69" t="s">
        <v>43</v>
      </c>
      <c r="I35" s="68">
        <f>I28-Q28</f>
        <v>-50.800000000000011</v>
      </c>
      <c r="J35" s="69" t="s">
        <v>44</v>
      </c>
      <c r="K35" s="68">
        <f>K30-Q30</f>
        <v>-50.400000000000006</v>
      </c>
      <c r="L35" s="69" t="s">
        <v>45</v>
      </c>
      <c r="M35" s="68">
        <f>M32-Q32</f>
        <v>-50</v>
      </c>
      <c r="N35" s="69" t="s">
        <v>46</v>
      </c>
      <c r="O35" s="70">
        <f>O29-Q29</f>
        <v>-66.300000000000011</v>
      </c>
    </row>
    <row r="38" spans="1:17" ht="15.75" thickBot="1" x14ac:dyDescent="0.3"/>
    <row r="39" spans="1:17" ht="15.75" thickBot="1" x14ac:dyDescent="0.3">
      <c r="G39" s="14" t="s">
        <v>39</v>
      </c>
      <c r="H39" s="73">
        <f>SUM(B21*C21+B22*C22+B32*C32+D32*E32+D24*E24+F26*G26+F27*G27+H29*I29+H28*I28+J28*K28+J30*K30+J31*K31+L30*M30+L32*M32+L33*M33+N29*O29+N27*O27+N25*O25+N23*O23)</f>
        <v>432141.3</v>
      </c>
    </row>
  </sheetData>
  <mergeCells count="8">
    <mergeCell ref="B19:O19"/>
    <mergeCell ref="N20:O20"/>
    <mergeCell ref="B20:C20"/>
    <mergeCell ref="D20:E20"/>
    <mergeCell ref="F20:G20"/>
    <mergeCell ref="H20:I20"/>
    <mergeCell ref="J20:K20"/>
    <mergeCell ref="L20:M2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Q39"/>
  <sheetViews>
    <sheetView topLeftCell="A10" zoomScale="75" zoomScaleNormal="75" workbookViewId="0">
      <selection activeCell="A19" sqref="A19:Q39"/>
    </sheetView>
  </sheetViews>
  <sheetFormatPr baseColWidth="10" defaultRowHeight="15" x14ac:dyDescent="0.25"/>
  <cols>
    <col min="8" max="8" width="14.28515625" bestFit="1" customWidth="1"/>
  </cols>
  <sheetData>
    <row r="18" spans="1:17" ht="15.75" thickBot="1" x14ac:dyDescent="0.3">
      <c r="P18" s="3"/>
    </row>
    <row r="19" spans="1:17" ht="15.75" thickBot="1" x14ac:dyDescent="0.3">
      <c r="A19" s="52"/>
      <c r="B19" s="138" t="s">
        <v>35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39"/>
    </row>
    <row r="20" spans="1:17" ht="15.75" thickBot="1" x14ac:dyDescent="0.3">
      <c r="A20" s="13" t="s">
        <v>36</v>
      </c>
      <c r="B20" s="148" t="s">
        <v>0</v>
      </c>
      <c r="C20" s="149"/>
      <c r="D20" s="146" t="s">
        <v>2</v>
      </c>
      <c r="E20" s="150"/>
      <c r="F20" s="148" t="s">
        <v>4</v>
      </c>
      <c r="G20" s="149"/>
      <c r="H20" s="146" t="s">
        <v>6</v>
      </c>
      <c r="I20" s="150"/>
      <c r="J20" s="148" t="s">
        <v>8</v>
      </c>
      <c r="K20" s="149"/>
      <c r="L20" s="146" t="s">
        <v>10</v>
      </c>
      <c r="M20" s="150"/>
      <c r="N20" s="148" t="s">
        <v>13</v>
      </c>
      <c r="O20" s="149"/>
    </row>
    <row r="21" spans="1:17" ht="15.75" thickBot="1" x14ac:dyDescent="0.3">
      <c r="A21" s="14" t="s">
        <v>12</v>
      </c>
      <c r="B21" s="15">
        <v>150</v>
      </c>
      <c r="C21" s="16">
        <f>-Q21</f>
        <v>0</v>
      </c>
      <c r="D21" s="87">
        <f>E21-Q21-E$35</f>
        <v>10.4</v>
      </c>
      <c r="E21" s="57">
        <v>0.4</v>
      </c>
      <c r="F21" s="26">
        <f>G21-Q21-G$35</f>
        <v>0.8</v>
      </c>
      <c r="G21" s="16">
        <v>0.8</v>
      </c>
      <c r="H21" s="87">
        <f>I21-Q21-I$35</f>
        <v>1.2000000000000002</v>
      </c>
      <c r="I21" s="57">
        <v>1.2000000000000002</v>
      </c>
      <c r="J21" s="26">
        <f>K21-Q21-K$35</f>
        <v>52.000000000000007</v>
      </c>
      <c r="K21" s="16">
        <v>1.6</v>
      </c>
      <c r="L21" s="87">
        <f>M21-Q21-M$35</f>
        <v>52</v>
      </c>
      <c r="M21" s="57">
        <v>2</v>
      </c>
      <c r="N21" s="26">
        <f>O21-Q21-O35</f>
        <v>15.5</v>
      </c>
      <c r="O21" s="57">
        <v>0</v>
      </c>
      <c r="P21" s="61" t="s">
        <v>47</v>
      </c>
      <c r="Q21" s="62">
        <v>0</v>
      </c>
    </row>
    <row r="22" spans="1:17" x14ac:dyDescent="0.25">
      <c r="A22" s="17" t="s">
        <v>61</v>
      </c>
      <c r="B22" s="48">
        <v>3456</v>
      </c>
      <c r="C22" s="49">
        <v>14</v>
      </c>
      <c r="D22" s="82">
        <f t="shared" ref="D22:D23" si="0">E22-Q22-E$35</f>
        <v>10.4</v>
      </c>
      <c r="E22" s="60">
        <v>14.4</v>
      </c>
      <c r="F22" s="50">
        <f t="shared" ref="F22:F25" si="1">G22-Q22-G$35</f>
        <v>0.80000000000000071</v>
      </c>
      <c r="G22" s="49">
        <v>14.8</v>
      </c>
      <c r="H22" s="82">
        <f t="shared" ref="H22:H27" si="2">I22-Q22-I$35</f>
        <v>1.2000000000000011</v>
      </c>
      <c r="I22" s="60">
        <v>15.200000000000001</v>
      </c>
      <c r="J22" s="50">
        <f t="shared" ref="J22:J27" si="3">K22-Q22-K$35</f>
        <v>52.000000000000007</v>
      </c>
      <c r="K22" s="49">
        <v>15.600000000000001</v>
      </c>
      <c r="L22" s="82">
        <f t="shared" ref="L22:L29" si="4">M22-Q22-M$35</f>
        <v>52</v>
      </c>
      <c r="M22" s="60">
        <v>16</v>
      </c>
      <c r="N22" s="50">
        <f>O22-Q22-O35</f>
        <v>1.5</v>
      </c>
      <c r="O22" s="60">
        <v>0</v>
      </c>
      <c r="P22" s="63" t="s">
        <v>48</v>
      </c>
      <c r="Q22" s="64">
        <f>C22-C35</f>
        <v>14</v>
      </c>
    </row>
    <row r="23" spans="1:17" ht="15.75" thickBot="1" x14ac:dyDescent="0.3">
      <c r="A23" s="19" t="s">
        <v>62</v>
      </c>
      <c r="B23" s="79">
        <v>288</v>
      </c>
      <c r="C23" s="78">
        <v>15.5</v>
      </c>
      <c r="D23" s="86">
        <f t="shared" si="0"/>
        <v>10.4</v>
      </c>
      <c r="E23" s="85">
        <v>15.9</v>
      </c>
      <c r="F23" s="77">
        <f t="shared" si="1"/>
        <v>0.80000000000000071</v>
      </c>
      <c r="G23" s="78">
        <v>16.3</v>
      </c>
      <c r="H23" s="86">
        <f t="shared" si="2"/>
        <v>1.1999999999999993</v>
      </c>
      <c r="I23" s="85">
        <v>16.7</v>
      </c>
      <c r="J23" s="77">
        <f t="shared" si="3"/>
        <v>52.000000000000007</v>
      </c>
      <c r="K23" s="78">
        <v>17.100000000000001</v>
      </c>
      <c r="L23" s="86">
        <f t="shared" si="4"/>
        <v>52</v>
      </c>
      <c r="M23" s="85">
        <v>17.5</v>
      </c>
      <c r="N23" s="79">
        <f>864-288</f>
        <v>576</v>
      </c>
      <c r="O23" s="85">
        <v>0</v>
      </c>
      <c r="P23" s="63" t="s">
        <v>50</v>
      </c>
      <c r="Q23" s="64">
        <f>C23-C35</f>
        <v>15.5</v>
      </c>
    </row>
    <row r="24" spans="1:17" x14ac:dyDescent="0.25">
      <c r="A24" s="17" t="s">
        <v>63</v>
      </c>
      <c r="B24" s="25">
        <f t="shared" ref="B24:B30" si="5">C24-Q24-C$35</f>
        <v>0</v>
      </c>
      <c r="C24" s="18">
        <v>24</v>
      </c>
      <c r="D24" s="80">
        <v>1344</v>
      </c>
      <c r="E24" s="58">
        <v>14</v>
      </c>
      <c r="F24" s="25">
        <f t="shared" si="1"/>
        <v>-9.6</v>
      </c>
      <c r="G24" s="18">
        <v>14.4</v>
      </c>
      <c r="H24" s="83">
        <f t="shared" si="2"/>
        <v>-9.1999999999999993</v>
      </c>
      <c r="I24" s="58">
        <v>14.8</v>
      </c>
      <c r="J24" s="25">
        <f t="shared" si="3"/>
        <v>41.600000000000009</v>
      </c>
      <c r="K24" s="18">
        <v>15.200000000000001</v>
      </c>
      <c r="L24" s="83">
        <f t="shared" si="4"/>
        <v>41.6</v>
      </c>
      <c r="M24" s="58">
        <v>15.600000000000001</v>
      </c>
      <c r="N24" s="25">
        <f>O24-Q24-O35</f>
        <v>-8.5</v>
      </c>
      <c r="O24" s="58">
        <v>0</v>
      </c>
      <c r="P24" s="63" t="s">
        <v>51</v>
      </c>
      <c r="Q24" s="64">
        <f>E24-E35</f>
        <v>24</v>
      </c>
    </row>
    <row r="25" spans="1:17" ht="15.75" thickBot="1" x14ac:dyDescent="0.3">
      <c r="A25" s="19" t="s">
        <v>68</v>
      </c>
      <c r="B25" s="24">
        <f t="shared" si="5"/>
        <v>10</v>
      </c>
      <c r="C25" s="21">
        <v>25.5</v>
      </c>
      <c r="D25" s="39">
        <f>E25-Q25-E$35</f>
        <v>10</v>
      </c>
      <c r="E25" s="59">
        <v>15.5</v>
      </c>
      <c r="F25" s="24">
        <f t="shared" si="1"/>
        <v>0.40000000000000036</v>
      </c>
      <c r="G25" s="21">
        <v>15.9</v>
      </c>
      <c r="H25" s="39">
        <f t="shared" si="2"/>
        <v>0.80000000000000071</v>
      </c>
      <c r="I25" s="59">
        <v>16.3</v>
      </c>
      <c r="J25" s="24">
        <f t="shared" si="3"/>
        <v>51.600000000000009</v>
      </c>
      <c r="K25" s="21">
        <v>16.7</v>
      </c>
      <c r="L25" s="39">
        <f t="shared" si="4"/>
        <v>51.599999999999994</v>
      </c>
      <c r="M25" s="59">
        <v>17.099999999999998</v>
      </c>
      <c r="N25" s="20">
        <v>336</v>
      </c>
      <c r="O25" s="59">
        <v>0</v>
      </c>
      <c r="P25" s="63" t="s">
        <v>52</v>
      </c>
      <c r="Q25" s="64">
        <f>O25-O35</f>
        <v>15.5</v>
      </c>
    </row>
    <row r="26" spans="1:17" x14ac:dyDescent="0.25">
      <c r="A26" s="17" t="s">
        <v>67</v>
      </c>
      <c r="B26" s="50">
        <f t="shared" si="5"/>
        <v>48</v>
      </c>
      <c r="C26" s="49">
        <v>34</v>
      </c>
      <c r="D26" s="82">
        <f t="shared" ref="D26:D31" si="6">E26-Q26-E$35</f>
        <v>48</v>
      </c>
      <c r="E26" s="60">
        <v>24</v>
      </c>
      <c r="F26" s="48">
        <v>4032</v>
      </c>
      <c r="G26" s="49">
        <v>14</v>
      </c>
      <c r="H26" s="82">
        <f t="shared" si="2"/>
        <v>28.4</v>
      </c>
      <c r="I26" s="60">
        <v>14.4</v>
      </c>
      <c r="J26" s="50">
        <f t="shared" si="3"/>
        <v>79.2</v>
      </c>
      <c r="K26" s="49">
        <v>14.8</v>
      </c>
      <c r="L26" s="82">
        <f t="shared" si="4"/>
        <v>79.2</v>
      </c>
      <c r="M26" s="60">
        <v>15.200000000000001</v>
      </c>
      <c r="N26" s="50">
        <f>O26-Q26-O35</f>
        <v>29.5</v>
      </c>
      <c r="O26" s="60">
        <v>0</v>
      </c>
      <c r="P26" s="63" t="s">
        <v>53</v>
      </c>
      <c r="Q26" s="64">
        <f>G35-G26</f>
        <v>-14</v>
      </c>
    </row>
    <row r="27" spans="1:17" ht="15.75" thickBot="1" x14ac:dyDescent="0.3">
      <c r="A27" s="19" t="s">
        <v>69</v>
      </c>
      <c r="B27" s="77">
        <f t="shared" si="5"/>
        <v>20</v>
      </c>
      <c r="C27" s="78">
        <v>35.5</v>
      </c>
      <c r="D27" s="86">
        <f t="shared" si="6"/>
        <v>20</v>
      </c>
      <c r="E27" s="85">
        <v>25.5</v>
      </c>
      <c r="F27" s="79">
        <f>403+55</f>
        <v>458</v>
      </c>
      <c r="G27" s="78">
        <v>15.5</v>
      </c>
      <c r="H27" s="86">
        <f t="shared" si="2"/>
        <v>0.40000000000000036</v>
      </c>
      <c r="I27" s="85">
        <v>15.9</v>
      </c>
      <c r="J27" s="77">
        <f t="shared" si="3"/>
        <v>51.2</v>
      </c>
      <c r="K27" s="78">
        <v>16.3</v>
      </c>
      <c r="L27" s="86">
        <f t="shared" si="4"/>
        <v>51.2</v>
      </c>
      <c r="M27" s="85">
        <v>16.7</v>
      </c>
      <c r="N27" s="79">
        <f>605-55</f>
        <v>550</v>
      </c>
      <c r="O27" s="85">
        <v>0</v>
      </c>
      <c r="P27" s="63" t="s">
        <v>54</v>
      </c>
      <c r="Q27" s="64">
        <f>O27-O35</f>
        <v>15.5</v>
      </c>
    </row>
    <row r="28" spans="1:17" x14ac:dyDescent="0.25">
      <c r="A28" s="17" t="s">
        <v>64</v>
      </c>
      <c r="B28" s="25">
        <f t="shared" si="5"/>
        <v>30</v>
      </c>
      <c r="C28" s="18">
        <v>44</v>
      </c>
      <c r="D28" s="83">
        <f t="shared" si="6"/>
        <v>30</v>
      </c>
      <c r="E28" s="58">
        <v>34</v>
      </c>
      <c r="F28" s="25">
        <f>G28-Q28-G$35</f>
        <v>10</v>
      </c>
      <c r="G28" s="18">
        <v>24</v>
      </c>
      <c r="H28" s="80">
        <f>4073+55+288</f>
        <v>4416</v>
      </c>
      <c r="I28" s="58">
        <v>14</v>
      </c>
      <c r="J28" s="25">
        <f>K28-Q28-K35</f>
        <v>50.800000000000004</v>
      </c>
      <c r="K28" s="18">
        <v>14.4</v>
      </c>
      <c r="L28" s="83">
        <f t="shared" si="4"/>
        <v>50.8</v>
      </c>
      <c r="M28" s="58">
        <v>14.8</v>
      </c>
      <c r="N28" s="25">
        <f>O28-Q28-O35</f>
        <v>1.5</v>
      </c>
      <c r="O28" s="58">
        <v>0</v>
      </c>
      <c r="P28" s="63" t="s">
        <v>49</v>
      </c>
      <c r="Q28" s="64">
        <f>I28-I35</f>
        <v>14</v>
      </c>
    </row>
    <row r="29" spans="1:17" ht="15.75" thickBot="1" x14ac:dyDescent="0.3">
      <c r="A29" s="19" t="s">
        <v>70</v>
      </c>
      <c r="B29" s="24">
        <f t="shared" si="5"/>
        <v>30</v>
      </c>
      <c r="C29" s="21">
        <v>45.5</v>
      </c>
      <c r="D29" s="39">
        <f t="shared" si="6"/>
        <v>30</v>
      </c>
      <c r="E29" s="59">
        <v>35.5</v>
      </c>
      <c r="F29" s="24">
        <f t="shared" ref="F29:F33" si="7">G29-Q29-G$35</f>
        <v>10</v>
      </c>
      <c r="G29" s="21">
        <v>25.5</v>
      </c>
      <c r="H29" s="45">
        <f>1104-55-288</f>
        <v>761</v>
      </c>
      <c r="I29" s="59">
        <v>15.5</v>
      </c>
      <c r="J29" s="24">
        <f>K29-Q29-K35</f>
        <v>50.800000000000004</v>
      </c>
      <c r="K29" s="21">
        <v>15.9</v>
      </c>
      <c r="L29" s="39">
        <f t="shared" si="4"/>
        <v>50.8</v>
      </c>
      <c r="M29" s="59">
        <v>16.3</v>
      </c>
      <c r="N29" s="20">
        <f>55+288</f>
        <v>343</v>
      </c>
      <c r="O29" s="59">
        <v>0</v>
      </c>
      <c r="P29" s="63" t="s">
        <v>55</v>
      </c>
      <c r="Q29" s="64">
        <f>O29-O35</f>
        <v>15.5</v>
      </c>
    </row>
    <row r="30" spans="1:17" x14ac:dyDescent="0.25">
      <c r="A30" s="17" t="s">
        <v>65</v>
      </c>
      <c r="B30" s="50">
        <f t="shared" si="5"/>
        <v>-10.400000000000006</v>
      </c>
      <c r="C30" s="49">
        <v>54</v>
      </c>
      <c r="D30" s="82">
        <f t="shared" si="6"/>
        <v>-10.400000000000006</v>
      </c>
      <c r="E30" s="60">
        <v>44</v>
      </c>
      <c r="F30" s="50">
        <f t="shared" si="7"/>
        <v>-30.400000000000006</v>
      </c>
      <c r="G30" s="49">
        <v>34</v>
      </c>
      <c r="H30" s="82">
        <f>I30-Q30-I$35</f>
        <v>-40.400000000000006</v>
      </c>
      <c r="I30" s="60">
        <v>24</v>
      </c>
      <c r="J30" s="48">
        <f>3243+55+288</f>
        <v>3586</v>
      </c>
      <c r="K30" s="49">
        <v>14</v>
      </c>
      <c r="L30" s="81">
        <f>789-55-288</f>
        <v>446</v>
      </c>
      <c r="M30" s="60">
        <v>14.4</v>
      </c>
      <c r="N30" s="50">
        <f>O30-Q30-O$35</f>
        <v>-48.900000000000006</v>
      </c>
      <c r="O30" s="60">
        <v>0</v>
      </c>
      <c r="P30" s="63" t="s">
        <v>56</v>
      </c>
      <c r="Q30" s="64">
        <f>M30-M35</f>
        <v>64.400000000000006</v>
      </c>
    </row>
    <row r="31" spans="1:17" ht="15.75" thickBot="1" x14ac:dyDescent="0.3">
      <c r="A31" s="19" t="s">
        <v>71</v>
      </c>
      <c r="B31" s="77">
        <f>C31-Q31-C$35</f>
        <v>-10.400000000000006</v>
      </c>
      <c r="C31" s="78">
        <v>55.5</v>
      </c>
      <c r="D31" s="86">
        <f t="shared" si="6"/>
        <v>-10.400000000000006</v>
      </c>
      <c r="E31" s="85">
        <v>45.5</v>
      </c>
      <c r="F31" s="77">
        <f t="shared" si="7"/>
        <v>-30.400000000000006</v>
      </c>
      <c r="G31" s="78">
        <v>35.5</v>
      </c>
      <c r="H31" s="86">
        <f t="shared" ref="H31:H33" si="8">I31-Q31-I$35</f>
        <v>-40.400000000000006</v>
      </c>
      <c r="I31" s="85">
        <v>25.5</v>
      </c>
      <c r="J31" s="79">
        <v>1008</v>
      </c>
      <c r="K31" s="78">
        <v>15.5</v>
      </c>
      <c r="L31" s="86">
        <f>M31-Q31-M35</f>
        <v>0</v>
      </c>
      <c r="M31" s="85">
        <v>15.9</v>
      </c>
      <c r="N31" s="88">
        <f t="shared" ref="N31:N33" si="9">O31-Q31-O$35</f>
        <v>-50.400000000000006</v>
      </c>
      <c r="O31" s="85">
        <v>0</v>
      </c>
      <c r="P31" s="63" t="s">
        <v>57</v>
      </c>
      <c r="Q31" s="64">
        <f>K31-K35</f>
        <v>65.900000000000006</v>
      </c>
    </row>
    <row r="32" spans="1:17" x14ac:dyDescent="0.25">
      <c r="A32" s="17" t="s">
        <v>66</v>
      </c>
      <c r="B32" s="29">
        <f>699-288</f>
        <v>411</v>
      </c>
      <c r="C32" s="18">
        <v>64</v>
      </c>
      <c r="D32" s="80">
        <v>1181</v>
      </c>
      <c r="E32" s="58">
        <v>54</v>
      </c>
      <c r="F32" s="25">
        <f t="shared" si="7"/>
        <v>-20</v>
      </c>
      <c r="G32" s="18">
        <v>44</v>
      </c>
      <c r="H32" s="83">
        <f t="shared" si="8"/>
        <v>-30</v>
      </c>
      <c r="I32" s="58">
        <v>34</v>
      </c>
      <c r="J32" s="25">
        <f>K32-Q32-I35</f>
        <v>-40</v>
      </c>
      <c r="K32" s="18">
        <v>24</v>
      </c>
      <c r="L32" s="80">
        <f>1905+55+288</f>
        <v>2248</v>
      </c>
      <c r="M32" s="58">
        <v>14</v>
      </c>
      <c r="N32" s="25">
        <f t="shared" si="9"/>
        <v>-48.5</v>
      </c>
      <c r="O32" s="58">
        <v>0</v>
      </c>
      <c r="P32" s="63" t="s">
        <v>58</v>
      </c>
      <c r="Q32" s="64">
        <f>C32-C35</f>
        <v>64</v>
      </c>
    </row>
    <row r="33" spans="1:17" ht="15.75" thickBot="1" x14ac:dyDescent="0.3">
      <c r="A33" s="19" t="s">
        <v>72</v>
      </c>
      <c r="B33" s="24">
        <f>C33-Q33-C35</f>
        <v>0</v>
      </c>
      <c r="C33" s="21">
        <v>65.5</v>
      </c>
      <c r="D33" s="39">
        <f>E33-Q33-E35</f>
        <v>0</v>
      </c>
      <c r="E33" s="59">
        <v>55.5</v>
      </c>
      <c r="F33" s="24">
        <f t="shared" si="7"/>
        <v>-20</v>
      </c>
      <c r="G33" s="21">
        <v>45.5</v>
      </c>
      <c r="H33" s="39">
        <f t="shared" si="8"/>
        <v>-30</v>
      </c>
      <c r="I33" s="59">
        <v>35.5</v>
      </c>
      <c r="J33" s="24">
        <f>K33-Q33-K35</f>
        <v>10.400000000000006</v>
      </c>
      <c r="K33" s="21">
        <v>25.5</v>
      </c>
      <c r="L33" s="45">
        <v>960</v>
      </c>
      <c r="M33" s="59">
        <v>15.5</v>
      </c>
      <c r="N33" s="24">
        <f t="shared" si="9"/>
        <v>-50</v>
      </c>
      <c r="O33" s="59">
        <v>0</v>
      </c>
      <c r="P33" s="65" t="s">
        <v>59</v>
      </c>
      <c r="Q33" s="66">
        <f>M33-M35</f>
        <v>65.5</v>
      </c>
    </row>
    <row r="34" spans="1:17" ht="15.75" thickBot="1" x14ac:dyDescent="0.3"/>
    <row r="35" spans="1:17" ht="15.75" thickBot="1" x14ac:dyDescent="0.3">
      <c r="B35" s="67" t="s">
        <v>40</v>
      </c>
      <c r="C35" s="68">
        <f>C21-Q21</f>
        <v>0</v>
      </c>
      <c r="D35" s="69" t="s">
        <v>41</v>
      </c>
      <c r="E35" s="68">
        <f>E32-Q32</f>
        <v>-10</v>
      </c>
      <c r="F35" s="69" t="s">
        <v>42</v>
      </c>
      <c r="G35" s="68">
        <f>G27-Q27</f>
        <v>0</v>
      </c>
      <c r="H35" s="69" t="s">
        <v>43</v>
      </c>
      <c r="I35" s="68">
        <f>I29-Q29</f>
        <v>0</v>
      </c>
      <c r="J35" s="69" t="s">
        <v>44</v>
      </c>
      <c r="K35" s="68">
        <f>K30-Q30</f>
        <v>-50.400000000000006</v>
      </c>
      <c r="L35" s="69" t="s">
        <v>45</v>
      </c>
      <c r="M35" s="68">
        <f>M32-Q32</f>
        <v>-50</v>
      </c>
      <c r="N35" s="69" t="s">
        <v>46</v>
      </c>
      <c r="O35" s="70">
        <f>O23-Q23</f>
        <v>-15.5</v>
      </c>
    </row>
    <row r="38" spans="1:17" ht="15.75" thickBot="1" x14ac:dyDescent="0.3"/>
    <row r="39" spans="1:17" ht="15.75" thickBot="1" x14ac:dyDescent="0.3">
      <c r="G39" s="14" t="s">
        <v>39</v>
      </c>
      <c r="H39" s="73">
        <f>SUM(B21*C21+B22*C22+B23*C23+B32*C32+D24*E24+D32*E32+F27*G27+F26*G26+H28*I28+H29*I29+J30*K30+J31*K31+L30*M30+L32*M32+L33*M33+N29*O29+N27*O27+N25*O25+N23*O23)</f>
        <v>417510.9</v>
      </c>
    </row>
  </sheetData>
  <mergeCells count="8">
    <mergeCell ref="B19:O19"/>
    <mergeCell ref="N20:O20"/>
    <mergeCell ref="B20:C20"/>
    <mergeCell ref="D20:E20"/>
    <mergeCell ref="F20:G20"/>
    <mergeCell ref="H20:I20"/>
    <mergeCell ref="J20:K20"/>
    <mergeCell ref="L20:M2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Q39"/>
  <sheetViews>
    <sheetView topLeftCell="A15" zoomScale="75" zoomScaleNormal="75" workbookViewId="0">
      <selection activeCell="A19" sqref="A19:Q39"/>
    </sheetView>
  </sheetViews>
  <sheetFormatPr baseColWidth="10" defaultRowHeight="15" x14ac:dyDescent="0.25"/>
  <cols>
    <col min="9" max="9" width="14.28515625" bestFit="1" customWidth="1"/>
  </cols>
  <sheetData>
    <row r="18" spans="1:17" ht="15.75" thickBot="1" x14ac:dyDescent="0.3"/>
    <row r="19" spans="1:17" ht="15.75" thickBot="1" x14ac:dyDescent="0.3">
      <c r="A19" s="52"/>
      <c r="B19" s="138" t="s">
        <v>35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39"/>
    </row>
    <row r="20" spans="1:17" ht="15.75" thickBot="1" x14ac:dyDescent="0.3">
      <c r="A20" s="13" t="s">
        <v>36</v>
      </c>
      <c r="B20" s="148" t="s">
        <v>0</v>
      </c>
      <c r="C20" s="149"/>
      <c r="D20" s="151" t="s">
        <v>2</v>
      </c>
      <c r="E20" s="152"/>
      <c r="F20" s="148" t="s">
        <v>4</v>
      </c>
      <c r="G20" s="149"/>
      <c r="H20" s="151" t="s">
        <v>6</v>
      </c>
      <c r="I20" s="152"/>
      <c r="J20" s="148" t="s">
        <v>8</v>
      </c>
      <c r="K20" s="149"/>
      <c r="L20" s="151" t="s">
        <v>10</v>
      </c>
      <c r="M20" s="152"/>
      <c r="N20" s="148" t="s">
        <v>13</v>
      </c>
      <c r="O20" s="149"/>
    </row>
    <row r="21" spans="1:17" ht="15.75" thickBot="1" x14ac:dyDescent="0.3">
      <c r="A21" s="52" t="s">
        <v>12</v>
      </c>
      <c r="B21" s="40">
        <v>150</v>
      </c>
      <c r="C21" s="119">
        <f>-Q21</f>
        <v>0</v>
      </c>
      <c r="D21" s="120">
        <f>E21-Q21-E$35</f>
        <v>-40</v>
      </c>
      <c r="E21" s="122">
        <v>0.4</v>
      </c>
      <c r="F21" s="123">
        <f>G21-Q21-G$35</f>
        <v>0.8</v>
      </c>
      <c r="G21" s="119">
        <v>0.8</v>
      </c>
      <c r="H21" s="120">
        <f>I21-Q21-I$35</f>
        <v>-29.8</v>
      </c>
      <c r="I21" s="122">
        <v>1.2000000000000002</v>
      </c>
      <c r="J21" s="123">
        <f>K21-Q21-K$35</f>
        <v>1.6</v>
      </c>
      <c r="K21" s="119">
        <v>1.6</v>
      </c>
      <c r="L21" s="120">
        <f>M21-Q21-M$35</f>
        <v>1.5999999999999996</v>
      </c>
      <c r="M21" s="122">
        <v>2</v>
      </c>
      <c r="N21" s="123">
        <f>O21-Q21-O35</f>
        <v>15.5</v>
      </c>
      <c r="O21" s="119">
        <v>0</v>
      </c>
      <c r="P21" s="117" t="s">
        <v>47</v>
      </c>
      <c r="Q21" s="62">
        <v>0</v>
      </c>
    </row>
    <row r="22" spans="1:17" x14ac:dyDescent="0.25">
      <c r="A22" s="17" t="s">
        <v>61</v>
      </c>
      <c r="B22" s="9">
        <v>3456</v>
      </c>
      <c r="C22" s="18">
        <v>14</v>
      </c>
      <c r="D22" s="83">
        <f t="shared" ref="D22:D23" si="0">E22-Q22-E$35</f>
        <v>-40</v>
      </c>
      <c r="E22" s="58">
        <v>14.4</v>
      </c>
      <c r="F22" s="25">
        <f t="shared" ref="F22:F25" si="1">G22-Q22-G$35</f>
        <v>0.80000000000000071</v>
      </c>
      <c r="G22" s="18">
        <v>14.8</v>
      </c>
      <c r="H22" s="83">
        <f t="shared" ref="H22:H27" si="2">I22-Q22-I$35</f>
        <v>-29.799999999999997</v>
      </c>
      <c r="I22" s="58">
        <v>15.200000000000001</v>
      </c>
      <c r="J22" s="25">
        <f t="shared" ref="J22:J27" si="3">K22-Q22-K$35</f>
        <v>1.6000000000000014</v>
      </c>
      <c r="K22" s="18">
        <v>15.600000000000001</v>
      </c>
      <c r="L22" s="83">
        <f t="shared" ref="L22:L29" si="4">M22-Q22-M$35</f>
        <v>1.5999999999999996</v>
      </c>
      <c r="M22" s="58">
        <v>16</v>
      </c>
      <c r="N22" s="25">
        <f>O22-Q22-O35</f>
        <v>1.5</v>
      </c>
      <c r="O22" s="18">
        <v>0</v>
      </c>
      <c r="P22" s="116" t="s">
        <v>48</v>
      </c>
      <c r="Q22" s="64">
        <f>C22-C35</f>
        <v>14</v>
      </c>
    </row>
    <row r="23" spans="1:17" ht="15.75" thickBot="1" x14ac:dyDescent="0.3">
      <c r="A23" s="19" t="s">
        <v>62</v>
      </c>
      <c r="B23" s="20">
        <f>288+411</f>
        <v>699</v>
      </c>
      <c r="C23" s="21">
        <v>15.5</v>
      </c>
      <c r="D23" s="39">
        <f t="shared" si="0"/>
        <v>-40</v>
      </c>
      <c r="E23" s="59">
        <v>15.9</v>
      </c>
      <c r="F23" s="24">
        <f t="shared" si="1"/>
        <v>0.80000000000000071</v>
      </c>
      <c r="G23" s="21">
        <v>16.3</v>
      </c>
      <c r="H23" s="39">
        <f t="shared" si="2"/>
        <v>-29.8</v>
      </c>
      <c r="I23" s="59">
        <v>16.7</v>
      </c>
      <c r="J23" s="24">
        <f t="shared" si="3"/>
        <v>1.6000000000000014</v>
      </c>
      <c r="K23" s="21">
        <v>17.100000000000001</v>
      </c>
      <c r="L23" s="39">
        <f t="shared" si="4"/>
        <v>1.5999999999999996</v>
      </c>
      <c r="M23" s="59">
        <v>17.5</v>
      </c>
      <c r="N23" s="20">
        <f>864-288-411</f>
        <v>165</v>
      </c>
      <c r="O23" s="21">
        <v>0</v>
      </c>
      <c r="P23" s="116" t="s">
        <v>50</v>
      </c>
      <c r="Q23" s="64">
        <f>C23-C35</f>
        <v>15.5</v>
      </c>
    </row>
    <row r="24" spans="1:17" x14ac:dyDescent="0.25">
      <c r="A24" s="95" t="s">
        <v>63</v>
      </c>
      <c r="B24" s="50">
        <f t="shared" ref="B24:B30" si="5">C24-Q24-C$35</f>
        <v>50.4</v>
      </c>
      <c r="C24" s="49">
        <v>24</v>
      </c>
      <c r="D24" s="81">
        <v>1344</v>
      </c>
      <c r="E24" s="60">
        <v>14</v>
      </c>
      <c r="F24" s="50">
        <f t="shared" si="1"/>
        <v>40.799999999999997</v>
      </c>
      <c r="G24" s="49">
        <v>14.4</v>
      </c>
      <c r="H24" s="82">
        <f t="shared" si="2"/>
        <v>10.200000000000003</v>
      </c>
      <c r="I24" s="60">
        <v>14.8</v>
      </c>
      <c r="J24" s="50">
        <f t="shared" si="3"/>
        <v>41.6</v>
      </c>
      <c r="K24" s="49">
        <v>15.200000000000001</v>
      </c>
      <c r="L24" s="82">
        <f t="shared" si="4"/>
        <v>41.6</v>
      </c>
      <c r="M24" s="60">
        <v>15.600000000000001</v>
      </c>
      <c r="N24" s="50">
        <f>O24-Q24-O35</f>
        <v>41.9</v>
      </c>
      <c r="O24" s="49">
        <v>0</v>
      </c>
      <c r="P24" s="116" t="s">
        <v>51</v>
      </c>
      <c r="Q24" s="64">
        <f>E24-E35</f>
        <v>-26.4</v>
      </c>
    </row>
    <row r="25" spans="1:17" ht="15.75" thickBot="1" x14ac:dyDescent="0.3">
      <c r="A25" s="13" t="s">
        <v>68</v>
      </c>
      <c r="B25" s="77">
        <f t="shared" si="5"/>
        <v>10</v>
      </c>
      <c r="C25" s="78">
        <v>25.5</v>
      </c>
      <c r="D25" s="121">
        <f>E25-Q25-E$35</f>
        <v>-40.4</v>
      </c>
      <c r="E25" s="85">
        <v>15.5</v>
      </c>
      <c r="F25" s="77">
        <f t="shared" si="1"/>
        <v>0.40000000000000036</v>
      </c>
      <c r="G25" s="78">
        <v>15.9</v>
      </c>
      <c r="H25" s="86">
        <f t="shared" si="2"/>
        <v>-30.2</v>
      </c>
      <c r="I25" s="85">
        <v>16.3</v>
      </c>
      <c r="J25" s="77">
        <f t="shared" si="3"/>
        <v>1.1999999999999993</v>
      </c>
      <c r="K25" s="78">
        <v>16.7</v>
      </c>
      <c r="L25" s="86">
        <f t="shared" si="4"/>
        <v>1.1999999999999975</v>
      </c>
      <c r="M25" s="85">
        <v>17.099999999999998</v>
      </c>
      <c r="N25" s="79">
        <v>336</v>
      </c>
      <c r="O25" s="78">
        <v>0</v>
      </c>
      <c r="P25" s="116" t="s">
        <v>52</v>
      </c>
      <c r="Q25" s="64">
        <f>O25-O35</f>
        <v>15.5</v>
      </c>
    </row>
    <row r="26" spans="1:17" x14ac:dyDescent="0.25">
      <c r="A26" s="17" t="s">
        <v>67</v>
      </c>
      <c r="B26" s="25">
        <f t="shared" si="5"/>
        <v>20</v>
      </c>
      <c r="C26" s="18">
        <v>34</v>
      </c>
      <c r="D26" s="83">
        <f t="shared" ref="D26:D31" si="6">E26-Q26-E$35</f>
        <v>-30.4</v>
      </c>
      <c r="E26" s="58">
        <v>24</v>
      </c>
      <c r="F26" s="9">
        <v>4032</v>
      </c>
      <c r="G26" s="18">
        <v>14</v>
      </c>
      <c r="H26" s="83">
        <f t="shared" si="2"/>
        <v>-30.6</v>
      </c>
      <c r="I26" s="58">
        <v>14.4</v>
      </c>
      <c r="J26" s="25">
        <f t="shared" si="3"/>
        <v>0.80000000000000071</v>
      </c>
      <c r="K26" s="18">
        <v>14.8</v>
      </c>
      <c r="L26" s="83">
        <f t="shared" si="4"/>
        <v>0.80000000000000071</v>
      </c>
      <c r="M26" s="58">
        <v>15.200000000000001</v>
      </c>
      <c r="N26" s="25">
        <f>O26-Q26-O35</f>
        <v>1.5</v>
      </c>
      <c r="O26" s="18">
        <v>0</v>
      </c>
      <c r="P26" s="116" t="s">
        <v>53</v>
      </c>
      <c r="Q26" s="64">
        <f>G26-G35</f>
        <v>14</v>
      </c>
    </row>
    <row r="27" spans="1:17" ht="15.75" thickBot="1" x14ac:dyDescent="0.3">
      <c r="A27" s="19" t="s">
        <v>69</v>
      </c>
      <c r="B27" s="24">
        <f t="shared" si="5"/>
        <v>20</v>
      </c>
      <c r="C27" s="21">
        <v>35.5</v>
      </c>
      <c r="D27" s="39">
        <f t="shared" si="6"/>
        <v>-30.4</v>
      </c>
      <c r="E27" s="59">
        <v>25.5</v>
      </c>
      <c r="F27" s="20">
        <f>403+55</f>
        <v>458</v>
      </c>
      <c r="G27" s="21">
        <v>15.5</v>
      </c>
      <c r="H27" s="39">
        <f t="shared" si="2"/>
        <v>-30.6</v>
      </c>
      <c r="I27" s="59">
        <v>15.9</v>
      </c>
      <c r="J27" s="24">
        <f t="shared" si="3"/>
        <v>0.80000000000000071</v>
      </c>
      <c r="K27" s="21">
        <v>16.3</v>
      </c>
      <c r="L27" s="39">
        <f t="shared" si="4"/>
        <v>0.79999999999999893</v>
      </c>
      <c r="M27" s="59">
        <v>16.7</v>
      </c>
      <c r="N27" s="20">
        <f>605-55</f>
        <v>550</v>
      </c>
      <c r="O27" s="21">
        <v>0</v>
      </c>
      <c r="P27" s="116" t="s">
        <v>54</v>
      </c>
      <c r="Q27" s="64">
        <f>O27-O35</f>
        <v>15.5</v>
      </c>
    </row>
    <row r="28" spans="1:17" x14ac:dyDescent="0.25">
      <c r="A28" s="95" t="s">
        <v>64</v>
      </c>
      <c r="B28" s="50">
        <f t="shared" si="5"/>
        <v>61</v>
      </c>
      <c r="C28" s="49">
        <v>44</v>
      </c>
      <c r="D28" s="82">
        <f t="shared" si="6"/>
        <v>10.600000000000001</v>
      </c>
      <c r="E28" s="60">
        <v>34</v>
      </c>
      <c r="F28" s="50">
        <f>G28-Q28-G$35</f>
        <v>41</v>
      </c>
      <c r="G28" s="49">
        <v>24</v>
      </c>
      <c r="H28" s="81">
        <f>4073+55+288</f>
        <v>4416</v>
      </c>
      <c r="I28" s="60">
        <v>14</v>
      </c>
      <c r="J28" s="50">
        <f>K28-Q28-K35</f>
        <v>31.4</v>
      </c>
      <c r="K28" s="49">
        <v>14.4</v>
      </c>
      <c r="L28" s="82">
        <f t="shared" si="4"/>
        <v>31.4</v>
      </c>
      <c r="M28" s="60">
        <v>14.8</v>
      </c>
      <c r="N28" s="50">
        <f>O28-Q28-O35</f>
        <v>32.5</v>
      </c>
      <c r="O28" s="49">
        <v>0</v>
      </c>
      <c r="P28" s="116" t="s">
        <v>49</v>
      </c>
      <c r="Q28" s="64">
        <f>I28-I35</f>
        <v>-17</v>
      </c>
    </row>
    <row r="29" spans="1:17" ht="15.75" thickBot="1" x14ac:dyDescent="0.3">
      <c r="A29" s="13" t="s">
        <v>70</v>
      </c>
      <c r="B29" s="77">
        <f t="shared" si="5"/>
        <v>61</v>
      </c>
      <c r="C29" s="78">
        <v>45.5</v>
      </c>
      <c r="D29" s="86">
        <f t="shared" si="6"/>
        <v>10.600000000000001</v>
      </c>
      <c r="E29" s="85">
        <v>35.5</v>
      </c>
      <c r="F29" s="77">
        <f t="shared" ref="F29:F33" si="7">G29-Q29-G$35</f>
        <v>41</v>
      </c>
      <c r="G29" s="78">
        <v>25.5</v>
      </c>
      <c r="H29" s="84">
        <f>1104-55-288</f>
        <v>761</v>
      </c>
      <c r="I29" s="85">
        <v>15.5</v>
      </c>
      <c r="J29" s="77">
        <f>K29-Q29-K35</f>
        <v>31.4</v>
      </c>
      <c r="K29" s="78">
        <v>15.9</v>
      </c>
      <c r="L29" s="86">
        <f t="shared" si="4"/>
        <v>31.4</v>
      </c>
      <c r="M29" s="85">
        <v>16.3</v>
      </c>
      <c r="N29" s="79">
        <f>55+288</f>
        <v>343</v>
      </c>
      <c r="O29" s="78">
        <v>0</v>
      </c>
      <c r="P29" s="116" t="s">
        <v>55</v>
      </c>
      <c r="Q29" s="64">
        <f>O35-O29</f>
        <v>-15.5</v>
      </c>
    </row>
    <row r="30" spans="1:17" x14ac:dyDescent="0.25">
      <c r="A30" s="17" t="s">
        <v>65</v>
      </c>
      <c r="B30" s="25">
        <f t="shared" si="5"/>
        <v>40</v>
      </c>
      <c r="C30" s="18">
        <v>54</v>
      </c>
      <c r="D30" s="83">
        <f t="shared" si="6"/>
        <v>-10.399999999999999</v>
      </c>
      <c r="E30" s="58">
        <v>44</v>
      </c>
      <c r="F30" s="25">
        <f t="shared" si="7"/>
        <v>20</v>
      </c>
      <c r="G30" s="18">
        <v>34</v>
      </c>
      <c r="H30" s="83">
        <f>I30-Q30-I$35</f>
        <v>-21</v>
      </c>
      <c r="I30" s="58">
        <v>24</v>
      </c>
      <c r="J30" s="9">
        <f>3243+55+288+411</f>
        <v>3997</v>
      </c>
      <c r="K30" s="18">
        <v>14</v>
      </c>
      <c r="L30" s="124">
        <f>789-55-288-411</f>
        <v>35</v>
      </c>
      <c r="M30" s="58">
        <v>14.4</v>
      </c>
      <c r="N30" s="25">
        <f>O30-Q30-O$35</f>
        <v>1.5</v>
      </c>
      <c r="O30" s="18">
        <v>0</v>
      </c>
      <c r="P30" s="116" t="s">
        <v>56</v>
      </c>
      <c r="Q30" s="64">
        <f>K30-K35</f>
        <v>14</v>
      </c>
    </row>
    <row r="31" spans="1:17" ht="15.75" thickBot="1" x14ac:dyDescent="0.3">
      <c r="A31" s="19" t="s">
        <v>71</v>
      </c>
      <c r="B31" s="24">
        <f>C31-Q31-C$35</f>
        <v>40</v>
      </c>
      <c r="C31" s="21">
        <v>55.5</v>
      </c>
      <c r="D31" s="39">
        <f t="shared" si="6"/>
        <v>-10.399999999999999</v>
      </c>
      <c r="E31" s="59">
        <v>45.5</v>
      </c>
      <c r="F31" s="24">
        <f t="shared" si="7"/>
        <v>20</v>
      </c>
      <c r="G31" s="21">
        <v>35.5</v>
      </c>
      <c r="H31" s="39">
        <f t="shared" ref="H31:H33" si="8">I31-Q31-I$35</f>
        <v>-21</v>
      </c>
      <c r="I31" s="59">
        <v>25.5</v>
      </c>
      <c r="J31" s="20">
        <f>1008-411</f>
        <v>597</v>
      </c>
      <c r="K31" s="21">
        <v>15.5</v>
      </c>
      <c r="L31" s="39">
        <f>M31-Q31-M35</f>
        <v>0</v>
      </c>
      <c r="M31" s="59">
        <v>15.9</v>
      </c>
      <c r="N31" s="20">
        <v>411</v>
      </c>
      <c r="O31" s="21">
        <v>0</v>
      </c>
      <c r="P31" s="116" t="s">
        <v>57</v>
      </c>
      <c r="Q31" s="64">
        <f>O31-O35</f>
        <v>15.5</v>
      </c>
    </row>
    <row r="32" spans="1:17" x14ac:dyDescent="0.25">
      <c r="A32" s="95" t="s">
        <v>66</v>
      </c>
      <c r="B32" s="50">
        <f>C32-Q32-C35</f>
        <v>50.4</v>
      </c>
      <c r="C32" s="49">
        <v>64</v>
      </c>
      <c r="D32" s="81">
        <v>1181</v>
      </c>
      <c r="E32" s="60">
        <v>54</v>
      </c>
      <c r="F32" s="50">
        <f t="shared" si="7"/>
        <v>30.4</v>
      </c>
      <c r="G32" s="49">
        <v>44</v>
      </c>
      <c r="H32" s="82">
        <f t="shared" si="8"/>
        <v>-10.600000000000001</v>
      </c>
      <c r="I32" s="60">
        <v>34</v>
      </c>
      <c r="J32" s="50">
        <f>K32-Q32-I35</f>
        <v>-20.6</v>
      </c>
      <c r="K32" s="49">
        <v>24</v>
      </c>
      <c r="L32" s="81">
        <f>1905+55+288+411</f>
        <v>2659</v>
      </c>
      <c r="M32" s="60">
        <v>14</v>
      </c>
      <c r="N32" s="50">
        <f t="shared" ref="N32:N33" si="9">O32-Q32-O$35</f>
        <v>1.9000000000000004</v>
      </c>
      <c r="O32" s="49">
        <v>0</v>
      </c>
      <c r="P32" s="116" t="s">
        <v>58</v>
      </c>
      <c r="Q32" s="64">
        <f>M32-M35</f>
        <v>13.6</v>
      </c>
    </row>
    <row r="33" spans="1:17" ht="15.75" thickBot="1" x14ac:dyDescent="0.3">
      <c r="A33" s="19" t="s">
        <v>72</v>
      </c>
      <c r="B33" s="24">
        <f>C33-Q33-C35</f>
        <v>50.4</v>
      </c>
      <c r="C33" s="21">
        <v>65.5</v>
      </c>
      <c r="D33" s="39">
        <f>E33-Q33-E35</f>
        <v>0</v>
      </c>
      <c r="E33" s="59">
        <v>55.5</v>
      </c>
      <c r="F33" s="24">
        <f t="shared" si="7"/>
        <v>30.4</v>
      </c>
      <c r="G33" s="21">
        <v>45.5</v>
      </c>
      <c r="H33" s="39">
        <f t="shared" si="8"/>
        <v>-10.600000000000001</v>
      </c>
      <c r="I33" s="59">
        <v>35.5</v>
      </c>
      <c r="J33" s="24">
        <f>K33-Q33-K35</f>
        <v>10.4</v>
      </c>
      <c r="K33" s="21">
        <v>25.5</v>
      </c>
      <c r="L33" s="45">
        <v>960</v>
      </c>
      <c r="M33" s="59">
        <v>15.5</v>
      </c>
      <c r="N33" s="24">
        <f t="shared" si="9"/>
        <v>0.40000000000000036</v>
      </c>
      <c r="O33" s="21">
        <v>0</v>
      </c>
      <c r="P33" s="118" t="s">
        <v>59</v>
      </c>
      <c r="Q33" s="66">
        <f>M33-M35</f>
        <v>15.1</v>
      </c>
    </row>
    <row r="34" spans="1:17" ht="15.75" thickBot="1" x14ac:dyDescent="0.3"/>
    <row r="35" spans="1:17" ht="15.75" thickBot="1" x14ac:dyDescent="0.3">
      <c r="B35" s="53" t="s">
        <v>40</v>
      </c>
      <c r="C35" s="54">
        <f>C21-Q21</f>
        <v>0</v>
      </c>
      <c r="D35" s="55" t="s">
        <v>41</v>
      </c>
      <c r="E35" s="54">
        <f>E32-Q32</f>
        <v>40.4</v>
      </c>
      <c r="F35" s="55" t="s">
        <v>42</v>
      </c>
      <c r="G35" s="54">
        <f>G27-Q27</f>
        <v>0</v>
      </c>
      <c r="H35" s="55" t="s">
        <v>43</v>
      </c>
      <c r="I35" s="54">
        <f>I29-Q29</f>
        <v>31</v>
      </c>
      <c r="J35" s="55" t="s">
        <v>44</v>
      </c>
      <c r="K35" s="54">
        <f>K31-Q31</f>
        <v>0</v>
      </c>
      <c r="L35" s="55" t="s">
        <v>45</v>
      </c>
      <c r="M35" s="54">
        <f>M30-Q30</f>
        <v>0.40000000000000036</v>
      </c>
      <c r="N35" s="55" t="s">
        <v>46</v>
      </c>
      <c r="O35" s="56">
        <f>O23-Q23</f>
        <v>-15.5</v>
      </c>
    </row>
    <row r="38" spans="1:17" ht="15.75" thickBot="1" x14ac:dyDescent="0.3"/>
    <row r="39" spans="1:17" ht="15.75" thickBot="1" x14ac:dyDescent="0.3">
      <c r="H39" s="14" t="s">
        <v>39</v>
      </c>
      <c r="I39" s="73">
        <f>SUM(B21*C21+B22*C22+B23*C23+D24*E24+D32*E32+F26*G26+F27*G27+H28*I28+H29*I29+J30*K30+J31*K31+L33*M33+L32*M32+L30*M30+N31*O31+N29*O29+N27*O27+N25*O25+N23*O23)</f>
        <v>396796.5</v>
      </c>
    </row>
  </sheetData>
  <mergeCells count="8">
    <mergeCell ref="B19:O19"/>
    <mergeCell ref="N20:O20"/>
    <mergeCell ref="B20:C20"/>
    <mergeCell ref="D20:E20"/>
    <mergeCell ref="F20:G20"/>
    <mergeCell ref="H20:I20"/>
    <mergeCell ref="J20:K20"/>
    <mergeCell ref="L20:M2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Q39"/>
  <sheetViews>
    <sheetView topLeftCell="A13" zoomScale="75" zoomScaleNormal="75" workbookViewId="0">
      <selection activeCell="A19" sqref="A19:Q39"/>
    </sheetView>
  </sheetViews>
  <sheetFormatPr baseColWidth="10" defaultRowHeight="15" x14ac:dyDescent="0.25"/>
  <cols>
    <col min="9" max="9" width="18" bestFit="1" customWidth="1"/>
  </cols>
  <sheetData>
    <row r="18" spans="1:17" ht="15.75" thickBot="1" x14ac:dyDescent="0.3"/>
    <row r="19" spans="1:17" ht="15.75" thickBot="1" x14ac:dyDescent="0.3">
      <c r="A19" s="52"/>
      <c r="B19" s="153" t="s">
        <v>35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5"/>
    </row>
    <row r="20" spans="1:17" ht="15.75" thickBot="1" x14ac:dyDescent="0.3">
      <c r="A20" s="41" t="s">
        <v>36</v>
      </c>
      <c r="B20" s="156" t="s">
        <v>0</v>
      </c>
      <c r="C20" s="158"/>
      <c r="D20" s="159" t="s">
        <v>2</v>
      </c>
      <c r="E20" s="157"/>
      <c r="F20" s="156" t="s">
        <v>4</v>
      </c>
      <c r="G20" s="158"/>
      <c r="H20" s="159" t="s">
        <v>6</v>
      </c>
      <c r="I20" s="157"/>
      <c r="J20" s="156" t="s">
        <v>8</v>
      </c>
      <c r="K20" s="158"/>
      <c r="L20" s="159" t="s">
        <v>10</v>
      </c>
      <c r="M20" s="157"/>
      <c r="N20" s="156" t="s">
        <v>13</v>
      </c>
      <c r="O20" s="157"/>
    </row>
    <row r="21" spans="1:17" x14ac:dyDescent="0.25">
      <c r="A21" s="42" t="s">
        <v>12</v>
      </c>
      <c r="B21" s="37">
        <v>150</v>
      </c>
      <c r="C21" s="71">
        <f>-Q21</f>
        <v>0</v>
      </c>
      <c r="D21" s="44">
        <f>E21-Q21-E$35</f>
        <v>0.4</v>
      </c>
      <c r="E21" s="36">
        <v>0.4</v>
      </c>
      <c r="F21" s="38">
        <f>G21-Q21-G$35</f>
        <v>0.8</v>
      </c>
      <c r="G21" s="71">
        <v>0.8</v>
      </c>
      <c r="H21" s="44">
        <f>I21-Q21-I$35</f>
        <v>1.2000000000000002</v>
      </c>
      <c r="I21" s="36">
        <v>1.2000000000000002</v>
      </c>
      <c r="J21" s="38">
        <f>K21-Q21-K$35</f>
        <v>1.6</v>
      </c>
      <c r="K21" s="71">
        <v>1.6</v>
      </c>
      <c r="L21" s="44">
        <f>M21-Q21-M$35</f>
        <v>42</v>
      </c>
      <c r="M21" s="36">
        <v>2</v>
      </c>
      <c r="N21" s="38">
        <f>O21-Q21-O35</f>
        <v>15.5</v>
      </c>
      <c r="O21" s="36">
        <v>0</v>
      </c>
      <c r="P21" s="117" t="s">
        <v>47</v>
      </c>
      <c r="Q21" s="62">
        <v>0</v>
      </c>
    </row>
    <row r="22" spans="1:17" x14ac:dyDescent="0.25">
      <c r="A22" s="42" t="s">
        <v>61</v>
      </c>
      <c r="B22" s="37">
        <v>3456</v>
      </c>
      <c r="C22" s="71">
        <v>14</v>
      </c>
      <c r="D22" s="44">
        <f t="shared" ref="D22:D23" si="0">E22-Q22-E$35</f>
        <v>0.40000000000000036</v>
      </c>
      <c r="E22" s="36">
        <v>14.4</v>
      </c>
      <c r="F22" s="38">
        <f t="shared" ref="F22:F25" si="1">G22-Q22-G$35</f>
        <v>0.80000000000000071</v>
      </c>
      <c r="G22" s="71">
        <v>14.8</v>
      </c>
      <c r="H22" s="44">
        <f t="shared" ref="H22:H27" si="2">I22-Q22-I$35</f>
        <v>1.2000000000000011</v>
      </c>
      <c r="I22" s="36">
        <v>15.200000000000001</v>
      </c>
      <c r="J22" s="38">
        <f t="shared" ref="J22:J27" si="3">K22-Q22-K$35</f>
        <v>1.6000000000000014</v>
      </c>
      <c r="K22" s="71">
        <v>15.600000000000001</v>
      </c>
      <c r="L22" s="44">
        <f t="shared" ref="L22:L29" si="4">M22-Q22-M$35</f>
        <v>42</v>
      </c>
      <c r="M22" s="36">
        <v>16</v>
      </c>
      <c r="N22" s="38">
        <f>O22-Q22-O35</f>
        <v>1.5</v>
      </c>
      <c r="O22" s="36">
        <v>0</v>
      </c>
      <c r="P22" s="116" t="s">
        <v>48</v>
      </c>
      <c r="Q22" s="64">
        <f>C22-C35</f>
        <v>14</v>
      </c>
    </row>
    <row r="23" spans="1:17" ht="15.75" thickBot="1" x14ac:dyDescent="0.3">
      <c r="A23" s="76" t="s">
        <v>62</v>
      </c>
      <c r="B23" s="84">
        <f>288+411</f>
        <v>699</v>
      </c>
      <c r="C23" s="85">
        <v>15.5</v>
      </c>
      <c r="D23" s="77">
        <f t="shared" si="0"/>
        <v>0.40000000000000036</v>
      </c>
      <c r="E23" s="78">
        <v>15.9</v>
      </c>
      <c r="F23" s="86">
        <f t="shared" si="1"/>
        <v>0.80000000000000071</v>
      </c>
      <c r="G23" s="85">
        <v>16.3</v>
      </c>
      <c r="H23" s="77">
        <f t="shared" si="2"/>
        <v>1.1999999999999993</v>
      </c>
      <c r="I23" s="78">
        <v>16.7</v>
      </c>
      <c r="J23" s="86">
        <f t="shared" si="3"/>
        <v>1.6000000000000014</v>
      </c>
      <c r="K23" s="85">
        <v>17.100000000000001</v>
      </c>
      <c r="L23" s="77">
        <f t="shared" si="4"/>
        <v>42</v>
      </c>
      <c r="M23" s="78">
        <v>17.5</v>
      </c>
      <c r="N23" s="84">
        <f>864-288-411</f>
        <v>165</v>
      </c>
      <c r="O23" s="78">
        <v>0</v>
      </c>
      <c r="P23" s="116" t="s">
        <v>50</v>
      </c>
      <c r="Q23" s="64">
        <f>C23-C35</f>
        <v>15.5</v>
      </c>
    </row>
    <row r="24" spans="1:17" x14ac:dyDescent="0.25">
      <c r="A24" s="41" t="s">
        <v>63</v>
      </c>
      <c r="B24" s="83">
        <f t="shared" ref="B24:B30" si="5">C24-Q24-C$35</f>
        <v>10</v>
      </c>
      <c r="C24" s="58">
        <v>24</v>
      </c>
      <c r="D24" s="9">
        <v>1344</v>
      </c>
      <c r="E24" s="18">
        <v>14</v>
      </c>
      <c r="F24" s="83">
        <f t="shared" si="1"/>
        <v>0.40000000000000036</v>
      </c>
      <c r="G24" s="58">
        <v>14.4</v>
      </c>
      <c r="H24" s="25">
        <f t="shared" si="2"/>
        <v>0.80000000000000071</v>
      </c>
      <c r="I24" s="18">
        <v>14.8</v>
      </c>
      <c r="J24" s="83">
        <f t="shared" si="3"/>
        <v>1.2000000000000011</v>
      </c>
      <c r="K24" s="58">
        <v>15.200000000000001</v>
      </c>
      <c r="L24" s="25">
        <f t="shared" si="4"/>
        <v>41.6</v>
      </c>
      <c r="M24" s="18">
        <v>15.600000000000001</v>
      </c>
      <c r="N24" s="83">
        <f>O24-Q24-O35</f>
        <v>1.5</v>
      </c>
      <c r="O24" s="18">
        <v>0</v>
      </c>
      <c r="P24" s="116" t="s">
        <v>51</v>
      </c>
      <c r="Q24" s="64">
        <f>E24-E35</f>
        <v>14</v>
      </c>
    </row>
    <row r="25" spans="1:17" ht="15.75" thickBot="1" x14ac:dyDescent="0.3">
      <c r="A25" s="43" t="s">
        <v>68</v>
      </c>
      <c r="B25" s="39">
        <f t="shared" si="5"/>
        <v>10</v>
      </c>
      <c r="C25" s="59">
        <v>25.5</v>
      </c>
      <c r="D25" s="20">
        <v>35</v>
      </c>
      <c r="E25" s="21">
        <v>15.5</v>
      </c>
      <c r="F25" s="39">
        <f t="shared" si="1"/>
        <v>0.40000000000000036</v>
      </c>
      <c r="G25" s="59">
        <v>15.9</v>
      </c>
      <c r="H25" s="24">
        <f t="shared" si="2"/>
        <v>0.80000000000000071</v>
      </c>
      <c r="I25" s="21">
        <v>16.3</v>
      </c>
      <c r="J25" s="39">
        <f t="shared" si="3"/>
        <v>1.1999999999999993</v>
      </c>
      <c r="K25" s="59">
        <v>16.7</v>
      </c>
      <c r="L25" s="24">
        <f t="shared" si="4"/>
        <v>41.599999999999994</v>
      </c>
      <c r="M25" s="21">
        <v>17.099999999999998</v>
      </c>
      <c r="N25" s="74">
        <f>336-35</f>
        <v>301</v>
      </c>
      <c r="O25" s="21">
        <v>0</v>
      </c>
      <c r="P25" s="116" t="s">
        <v>52</v>
      </c>
      <c r="Q25" s="64">
        <f>O25-O35</f>
        <v>15.5</v>
      </c>
    </row>
    <row r="26" spans="1:17" x14ac:dyDescent="0.25">
      <c r="A26" s="41" t="s">
        <v>67</v>
      </c>
      <c r="B26" s="83">
        <f t="shared" si="5"/>
        <v>20</v>
      </c>
      <c r="C26" s="58">
        <v>34</v>
      </c>
      <c r="D26" s="25">
        <f t="shared" ref="D26:D31" si="6">E26-Q26-E$35</f>
        <v>10</v>
      </c>
      <c r="E26" s="18">
        <v>24</v>
      </c>
      <c r="F26" s="80">
        <v>4032</v>
      </c>
      <c r="G26" s="58">
        <v>14</v>
      </c>
      <c r="H26" s="25">
        <f t="shared" si="2"/>
        <v>0.40000000000000036</v>
      </c>
      <c r="I26" s="18">
        <v>14.4</v>
      </c>
      <c r="J26" s="83">
        <f t="shared" si="3"/>
        <v>0.80000000000000071</v>
      </c>
      <c r="K26" s="58">
        <v>14.8</v>
      </c>
      <c r="L26" s="25">
        <f t="shared" si="4"/>
        <v>41.2</v>
      </c>
      <c r="M26" s="18">
        <v>15.200000000000001</v>
      </c>
      <c r="N26" s="83">
        <f>O26-Q26-O35</f>
        <v>1.5</v>
      </c>
      <c r="O26" s="18">
        <v>0</v>
      </c>
      <c r="P26" s="116" t="s">
        <v>53</v>
      </c>
      <c r="Q26" s="64">
        <f>G26-G35</f>
        <v>14</v>
      </c>
    </row>
    <row r="27" spans="1:17" ht="15.75" thickBot="1" x14ac:dyDescent="0.3">
      <c r="A27" s="43" t="s">
        <v>69</v>
      </c>
      <c r="B27" s="39">
        <f t="shared" si="5"/>
        <v>20</v>
      </c>
      <c r="C27" s="59">
        <v>35.5</v>
      </c>
      <c r="D27" s="24">
        <f t="shared" si="6"/>
        <v>10</v>
      </c>
      <c r="E27" s="21">
        <v>25.5</v>
      </c>
      <c r="F27" s="45">
        <f>403+55</f>
        <v>458</v>
      </c>
      <c r="G27" s="59">
        <v>15.5</v>
      </c>
      <c r="H27" s="24">
        <f t="shared" si="2"/>
        <v>0.40000000000000036</v>
      </c>
      <c r="I27" s="21">
        <v>15.9</v>
      </c>
      <c r="J27" s="39">
        <f t="shared" si="3"/>
        <v>0.80000000000000071</v>
      </c>
      <c r="K27" s="59">
        <v>16.3</v>
      </c>
      <c r="L27" s="24">
        <f t="shared" si="4"/>
        <v>41.2</v>
      </c>
      <c r="M27" s="21">
        <v>16.7</v>
      </c>
      <c r="N27" s="45">
        <f>605-55</f>
        <v>550</v>
      </c>
      <c r="O27" s="21">
        <v>0</v>
      </c>
      <c r="P27" s="116" t="s">
        <v>54</v>
      </c>
      <c r="Q27" s="64">
        <f>O27-O35</f>
        <v>15.5</v>
      </c>
    </row>
    <row r="28" spans="1:17" x14ac:dyDescent="0.25">
      <c r="A28" s="41" t="s">
        <v>64</v>
      </c>
      <c r="B28" s="83">
        <f t="shared" si="5"/>
        <v>30</v>
      </c>
      <c r="C28" s="58">
        <v>44</v>
      </c>
      <c r="D28" s="25">
        <f t="shared" si="6"/>
        <v>20</v>
      </c>
      <c r="E28" s="18">
        <v>34</v>
      </c>
      <c r="F28" s="83">
        <f>G28-Q28-G$35</f>
        <v>10</v>
      </c>
      <c r="G28" s="58">
        <v>24</v>
      </c>
      <c r="H28" s="9">
        <f>4073+55+288</f>
        <v>4416</v>
      </c>
      <c r="I28" s="18">
        <v>14</v>
      </c>
      <c r="J28" s="83">
        <f>K28-Q28-K35</f>
        <v>0.40000000000000036</v>
      </c>
      <c r="K28" s="58">
        <v>14.4</v>
      </c>
      <c r="L28" s="25">
        <f t="shared" si="4"/>
        <v>40.799999999999997</v>
      </c>
      <c r="M28" s="18">
        <v>14.8</v>
      </c>
      <c r="N28" s="83">
        <f>O28-Q28-O35</f>
        <v>1.5</v>
      </c>
      <c r="O28" s="18">
        <v>0</v>
      </c>
      <c r="P28" s="116" t="s">
        <v>49</v>
      </c>
      <c r="Q28" s="64">
        <f>I28-I35</f>
        <v>14</v>
      </c>
    </row>
    <row r="29" spans="1:17" ht="15.75" thickBot="1" x14ac:dyDescent="0.3">
      <c r="A29" s="43" t="s">
        <v>70</v>
      </c>
      <c r="B29" s="39">
        <f t="shared" si="5"/>
        <v>30</v>
      </c>
      <c r="C29" s="59">
        <v>45.5</v>
      </c>
      <c r="D29" s="24">
        <f t="shared" si="6"/>
        <v>20</v>
      </c>
      <c r="E29" s="21">
        <v>35.5</v>
      </c>
      <c r="F29" s="39">
        <f t="shared" ref="F29:F33" si="7">G29-Q29-G$35</f>
        <v>10</v>
      </c>
      <c r="G29" s="59">
        <v>25.5</v>
      </c>
      <c r="H29" s="20">
        <f>1104-55-288</f>
        <v>761</v>
      </c>
      <c r="I29" s="21">
        <v>15.5</v>
      </c>
      <c r="J29" s="39">
        <f>K29-Q29-K35</f>
        <v>0.40000000000000036</v>
      </c>
      <c r="K29" s="59">
        <v>15.9</v>
      </c>
      <c r="L29" s="24">
        <f t="shared" si="4"/>
        <v>40.799999999999997</v>
      </c>
      <c r="M29" s="21">
        <v>16.3</v>
      </c>
      <c r="N29" s="45">
        <f>55+288</f>
        <v>343</v>
      </c>
      <c r="O29" s="21">
        <v>0</v>
      </c>
      <c r="P29" s="116" t="s">
        <v>55</v>
      </c>
      <c r="Q29" s="64">
        <f>O29-O35</f>
        <v>15.5</v>
      </c>
    </row>
    <row r="30" spans="1:17" x14ac:dyDescent="0.25">
      <c r="A30" s="47" t="s">
        <v>65</v>
      </c>
      <c r="B30" s="82">
        <f t="shared" si="5"/>
        <v>40</v>
      </c>
      <c r="C30" s="60">
        <v>54</v>
      </c>
      <c r="D30" s="50">
        <f t="shared" si="6"/>
        <v>30</v>
      </c>
      <c r="E30" s="49">
        <v>44</v>
      </c>
      <c r="F30" s="82">
        <f t="shared" si="7"/>
        <v>20</v>
      </c>
      <c r="G30" s="60">
        <v>34</v>
      </c>
      <c r="H30" s="50">
        <f>I30-Q30-I$35</f>
        <v>10</v>
      </c>
      <c r="I30" s="49">
        <v>24</v>
      </c>
      <c r="J30" s="81">
        <f>3243+55+288+411+35</f>
        <v>4032</v>
      </c>
      <c r="K30" s="60">
        <v>14</v>
      </c>
      <c r="L30" s="50">
        <f>M30-Q30-M35</f>
        <v>40.4</v>
      </c>
      <c r="M30" s="49">
        <v>14.4</v>
      </c>
      <c r="N30" s="82">
        <f>O30-Q30-O$35</f>
        <v>1.5</v>
      </c>
      <c r="O30" s="49">
        <v>0</v>
      </c>
      <c r="P30" s="116" t="s">
        <v>56</v>
      </c>
      <c r="Q30" s="64">
        <f>K30-K35</f>
        <v>14</v>
      </c>
    </row>
    <row r="31" spans="1:17" ht="15.75" thickBot="1" x14ac:dyDescent="0.3">
      <c r="A31" s="76" t="s">
        <v>71</v>
      </c>
      <c r="B31" s="86">
        <f>C31-Q31-C$35</f>
        <v>40</v>
      </c>
      <c r="C31" s="85">
        <v>55.5</v>
      </c>
      <c r="D31" s="77">
        <f t="shared" si="6"/>
        <v>30</v>
      </c>
      <c r="E31" s="78">
        <v>45.5</v>
      </c>
      <c r="F31" s="86">
        <f t="shared" si="7"/>
        <v>20</v>
      </c>
      <c r="G31" s="85">
        <v>35.5</v>
      </c>
      <c r="H31" s="77">
        <f t="shared" ref="H31:H33" si="8">I31-Q31-I$35</f>
        <v>10</v>
      </c>
      <c r="I31" s="78">
        <v>25.5</v>
      </c>
      <c r="J31" s="84">
        <f>1008-411-35</f>
        <v>562</v>
      </c>
      <c r="K31" s="85">
        <v>15.5</v>
      </c>
      <c r="L31" s="77">
        <f>M31-Q31-M35</f>
        <v>40.4</v>
      </c>
      <c r="M31" s="78">
        <v>15.9</v>
      </c>
      <c r="N31" s="84">
        <f>411+35</f>
        <v>446</v>
      </c>
      <c r="O31" s="78">
        <v>0</v>
      </c>
      <c r="P31" s="116" t="s">
        <v>57</v>
      </c>
      <c r="Q31" s="64">
        <f>O31-O35</f>
        <v>15.5</v>
      </c>
    </row>
    <row r="32" spans="1:17" x14ac:dyDescent="0.25">
      <c r="A32" s="41" t="s">
        <v>66</v>
      </c>
      <c r="B32" s="83">
        <f>C32-Q32-C35</f>
        <v>10</v>
      </c>
      <c r="C32" s="58">
        <v>64</v>
      </c>
      <c r="D32" s="9">
        <f>1181-35</f>
        <v>1146</v>
      </c>
      <c r="E32" s="18">
        <v>54</v>
      </c>
      <c r="F32" s="83">
        <f t="shared" si="7"/>
        <v>-10</v>
      </c>
      <c r="G32" s="58">
        <v>44</v>
      </c>
      <c r="H32" s="25">
        <f t="shared" si="8"/>
        <v>-20</v>
      </c>
      <c r="I32" s="18">
        <v>34</v>
      </c>
      <c r="J32" s="83">
        <f>K32-Q32-I35</f>
        <v>-30</v>
      </c>
      <c r="K32" s="58">
        <v>24</v>
      </c>
      <c r="L32" s="9">
        <f>1905+55+288+411+35</f>
        <v>2694</v>
      </c>
      <c r="M32" s="18">
        <v>14</v>
      </c>
      <c r="N32" s="83">
        <f t="shared" ref="N32:N33" si="9">O32-Q32-O$35</f>
        <v>-38.5</v>
      </c>
      <c r="O32" s="18">
        <v>0</v>
      </c>
      <c r="P32" s="116" t="s">
        <v>58</v>
      </c>
      <c r="Q32" s="64">
        <f>E32-E35</f>
        <v>54</v>
      </c>
    </row>
    <row r="33" spans="1:17" ht="15.75" thickBot="1" x14ac:dyDescent="0.3">
      <c r="A33" s="43" t="s">
        <v>72</v>
      </c>
      <c r="B33" s="39">
        <f>C33-Q33-C35</f>
        <v>10</v>
      </c>
      <c r="C33" s="59">
        <v>65.5</v>
      </c>
      <c r="D33" s="24">
        <f>E33-Q33-E35</f>
        <v>0</v>
      </c>
      <c r="E33" s="21">
        <v>55.5</v>
      </c>
      <c r="F33" s="39">
        <f t="shared" si="7"/>
        <v>-10</v>
      </c>
      <c r="G33" s="59">
        <v>45.5</v>
      </c>
      <c r="H33" s="24">
        <f t="shared" si="8"/>
        <v>-20</v>
      </c>
      <c r="I33" s="21">
        <v>35.5</v>
      </c>
      <c r="J33" s="39">
        <f>K33-Q33-K35</f>
        <v>-30</v>
      </c>
      <c r="K33" s="59">
        <v>25.5</v>
      </c>
      <c r="L33" s="20">
        <v>960</v>
      </c>
      <c r="M33" s="21">
        <v>15.5</v>
      </c>
      <c r="N33" s="89">
        <f t="shared" si="9"/>
        <v>-40</v>
      </c>
      <c r="O33" s="21">
        <v>0</v>
      </c>
      <c r="P33" s="118" t="s">
        <v>59</v>
      </c>
      <c r="Q33" s="66">
        <f>M33-M35</f>
        <v>55.5</v>
      </c>
    </row>
    <row r="34" spans="1:17" ht="15.75" thickBot="1" x14ac:dyDescent="0.3">
      <c r="A34" s="115"/>
    </row>
    <row r="35" spans="1:17" ht="15.75" thickBot="1" x14ac:dyDescent="0.3">
      <c r="B35" s="67" t="s">
        <v>40</v>
      </c>
      <c r="C35" s="68">
        <f>C21-Q21</f>
        <v>0</v>
      </c>
      <c r="D35" s="69" t="s">
        <v>41</v>
      </c>
      <c r="E35" s="68">
        <f>E25-Q25</f>
        <v>0</v>
      </c>
      <c r="F35" s="69" t="s">
        <v>42</v>
      </c>
      <c r="G35" s="68">
        <f>G27-Q27</f>
        <v>0</v>
      </c>
      <c r="H35" s="69" t="s">
        <v>43</v>
      </c>
      <c r="I35" s="68">
        <f>I29-Q29</f>
        <v>0</v>
      </c>
      <c r="J35" s="69" t="s">
        <v>44</v>
      </c>
      <c r="K35" s="68">
        <f>K31-Q31</f>
        <v>0</v>
      </c>
      <c r="L35" s="69" t="s">
        <v>45</v>
      </c>
      <c r="M35" s="68">
        <f>M32-Q32</f>
        <v>-40</v>
      </c>
      <c r="N35" s="69" t="s">
        <v>46</v>
      </c>
      <c r="O35" s="70">
        <f>O23-Q23</f>
        <v>-15.5</v>
      </c>
    </row>
    <row r="38" spans="1:17" ht="15.75" thickBot="1" x14ac:dyDescent="0.3"/>
    <row r="39" spans="1:17" ht="19.5" thickBot="1" x14ac:dyDescent="0.35">
      <c r="H39" s="126" t="s">
        <v>39</v>
      </c>
      <c r="I39" s="125">
        <f>SUM(B21*C21+B22*C22+B23*C23+D24*E24+D32*E32+F26*G26+F27*G27+H28*I28+H29*I29+J30*K30+J31*K31+L33*M33+L32*M32+D25*E25+N31*O31+N29*O29+N27*O27+N25*O25+N23*O23)</f>
        <v>395382.5</v>
      </c>
    </row>
  </sheetData>
  <mergeCells count="8">
    <mergeCell ref="B19:O19"/>
    <mergeCell ref="N20:O20"/>
    <mergeCell ref="B20:C20"/>
    <mergeCell ref="D20:E20"/>
    <mergeCell ref="F20:G20"/>
    <mergeCell ref="H20:I20"/>
    <mergeCell ref="J20:K20"/>
    <mergeCell ref="L20:M2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Q39"/>
  <sheetViews>
    <sheetView topLeftCell="A16" zoomScale="75" zoomScaleNormal="75" workbookViewId="0">
      <selection activeCell="A19" sqref="A19:Q39"/>
    </sheetView>
  </sheetViews>
  <sheetFormatPr baseColWidth="10" defaultRowHeight="15" x14ac:dyDescent="0.25"/>
  <cols>
    <col min="9" max="9" width="18" bestFit="1" customWidth="1"/>
  </cols>
  <sheetData>
    <row r="18" spans="1:17" ht="15.75" thickBot="1" x14ac:dyDescent="0.3"/>
    <row r="19" spans="1:17" ht="15.75" thickBot="1" x14ac:dyDescent="0.3">
      <c r="A19" s="40"/>
      <c r="B19" s="160" t="s">
        <v>35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0"/>
      <c r="N19" s="10"/>
      <c r="O19" s="11"/>
    </row>
    <row r="20" spans="1:17" ht="15.75" thickBot="1" x14ac:dyDescent="0.3">
      <c r="A20" s="13" t="s">
        <v>36</v>
      </c>
      <c r="B20" s="153" t="s">
        <v>0</v>
      </c>
      <c r="C20" s="155"/>
      <c r="D20" s="153" t="s">
        <v>2</v>
      </c>
      <c r="E20" s="155"/>
      <c r="F20" s="153" t="s">
        <v>4</v>
      </c>
      <c r="G20" s="155"/>
      <c r="H20" s="153" t="s">
        <v>6</v>
      </c>
      <c r="I20" s="155"/>
      <c r="J20" s="153" t="s">
        <v>8</v>
      </c>
      <c r="K20" s="155"/>
      <c r="L20" s="153" t="s">
        <v>10</v>
      </c>
      <c r="M20" s="155"/>
      <c r="N20" s="153" t="s">
        <v>13</v>
      </c>
      <c r="O20" s="155"/>
    </row>
    <row r="21" spans="1:17" ht="15.75" thickBot="1" x14ac:dyDescent="0.3">
      <c r="A21" s="14" t="s">
        <v>12</v>
      </c>
      <c r="B21" s="15">
        <v>150</v>
      </c>
      <c r="C21" s="16">
        <f>-Q21</f>
        <v>0</v>
      </c>
      <c r="D21" s="26">
        <f>E21-Q21-E$35</f>
        <v>-39.6</v>
      </c>
      <c r="E21" s="16">
        <v>0.4</v>
      </c>
      <c r="F21" s="26">
        <f>G21-Q21-G$35</f>
        <v>0.8</v>
      </c>
      <c r="G21" s="16">
        <v>0.8</v>
      </c>
      <c r="H21" s="26">
        <f>I21-Q21-I$35</f>
        <v>-14.3</v>
      </c>
      <c r="I21" s="16">
        <v>1.2000000000000002</v>
      </c>
      <c r="J21" s="26">
        <f>K21-Q21-K$35</f>
        <v>1.6</v>
      </c>
      <c r="K21" s="16">
        <v>1.6</v>
      </c>
      <c r="L21" s="26">
        <f>M21-Q21-M$35</f>
        <v>2</v>
      </c>
      <c r="M21" s="16">
        <v>2</v>
      </c>
      <c r="N21" s="26">
        <f>O21-Q21-O35</f>
        <v>15.5</v>
      </c>
      <c r="O21" s="57">
        <v>0</v>
      </c>
      <c r="P21" s="61" t="s">
        <v>47</v>
      </c>
      <c r="Q21" s="62">
        <v>0</v>
      </c>
    </row>
    <row r="22" spans="1:17" x14ac:dyDescent="0.25">
      <c r="A22" s="17" t="s">
        <v>61</v>
      </c>
      <c r="B22" s="9">
        <v>3456</v>
      </c>
      <c r="C22" s="18">
        <v>14</v>
      </c>
      <c r="D22" s="30">
        <f t="shared" ref="D22:D23" si="0">E22-Q22-E$35</f>
        <v>-39.6</v>
      </c>
      <c r="E22" s="18">
        <v>14.4</v>
      </c>
      <c r="F22" s="25">
        <f t="shared" ref="F22:F25" si="1">G22-Q22-G$35</f>
        <v>0.80000000000000071</v>
      </c>
      <c r="G22" s="18">
        <v>14.8</v>
      </c>
      <c r="H22" s="25">
        <f t="shared" ref="H22:H27" si="2">I22-Q22-I$35</f>
        <v>-14.299999999999999</v>
      </c>
      <c r="I22" s="18">
        <v>15.200000000000001</v>
      </c>
      <c r="J22" s="25">
        <f t="shared" ref="J22:J27" si="3">K22-Q22-K$35</f>
        <v>1.6000000000000014</v>
      </c>
      <c r="K22" s="18">
        <v>15.600000000000001</v>
      </c>
      <c r="L22" s="25">
        <f t="shared" ref="L22:L29" si="4">M22-Q22-M$35</f>
        <v>2</v>
      </c>
      <c r="M22" s="18">
        <v>16</v>
      </c>
      <c r="N22" s="25">
        <f>O22-Q22-O35</f>
        <v>1.5</v>
      </c>
      <c r="O22" s="58">
        <v>0</v>
      </c>
      <c r="P22" s="63" t="s">
        <v>48</v>
      </c>
      <c r="Q22" s="64">
        <f>C22-C35</f>
        <v>14</v>
      </c>
    </row>
    <row r="23" spans="1:17" ht="15.75" thickBot="1" x14ac:dyDescent="0.3">
      <c r="A23" s="19" t="s">
        <v>62</v>
      </c>
      <c r="B23" s="20">
        <f>288+411</f>
        <v>699</v>
      </c>
      <c r="C23" s="21">
        <v>15.5</v>
      </c>
      <c r="D23" s="24">
        <f t="shared" si="0"/>
        <v>-39.6</v>
      </c>
      <c r="E23" s="21">
        <v>15.9</v>
      </c>
      <c r="F23" s="24">
        <f t="shared" si="1"/>
        <v>0.80000000000000071</v>
      </c>
      <c r="G23" s="21">
        <v>16.3</v>
      </c>
      <c r="H23" s="24">
        <f t="shared" si="2"/>
        <v>-14.3</v>
      </c>
      <c r="I23" s="21">
        <v>16.7</v>
      </c>
      <c r="J23" s="24">
        <f t="shared" si="3"/>
        <v>1.6000000000000014</v>
      </c>
      <c r="K23" s="21">
        <v>17.100000000000001</v>
      </c>
      <c r="L23" s="24">
        <f t="shared" si="4"/>
        <v>2</v>
      </c>
      <c r="M23" s="21">
        <v>17.5</v>
      </c>
      <c r="N23" s="27">
        <f>864-288-411</f>
        <v>165</v>
      </c>
      <c r="O23" s="59">
        <v>0</v>
      </c>
      <c r="P23" s="63" t="s">
        <v>50</v>
      </c>
      <c r="Q23" s="64">
        <f>C23-C35</f>
        <v>15.5</v>
      </c>
    </row>
    <row r="24" spans="1:17" x14ac:dyDescent="0.25">
      <c r="A24" s="17" t="s">
        <v>63</v>
      </c>
      <c r="B24" s="25">
        <f t="shared" ref="B24:B30" si="5">C24-Q24-C$35</f>
        <v>50</v>
      </c>
      <c r="C24" s="18">
        <v>24</v>
      </c>
      <c r="D24" s="9">
        <v>1344</v>
      </c>
      <c r="E24" s="18">
        <v>14</v>
      </c>
      <c r="F24" s="25">
        <f t="shared" si="1"/>
        <v>40.4</v>
      </c>
      <c r="G24" s="18">
        <v>14.4</v>
      </c>
      <c r="H24" s="25">
        <f t="shared" si="2"/>
        <v>25.299999999999997</v>
      </c>
      <c r="I24" s="18">
        <v>14.8</v>
      </c>
      <c r="J24" s="25">
        <f t="shared" si="3"/>
        <v>41.2</v>
      </c>
      <c r="K24" s="18">
        <v>15.200000000000001</v>
      </c>
      <c r="L24" s="25">
        <f t="shared" si="4"/>
        <v>41.6</v>
      </c>
      <c r="M24" s="18">
        <v>15.600000000000001</v>
      </c>
      <c r="N24" s="25">
        <f>O24-Q24-O35</f>
        <v>41.5</v>
      </c>
      <c r="O24" s="58">
        <v>0</v>
      </c>
      <c r="P24" s="63" t="s">
        <v>51</v>
      </c>
      <c r="Q24" s="64">
        <f>E24-E35</f>
        <v>-26</v>
      </c>
    </row>
    <row r="25" spans="1:17" ht="15.75" thickBot="1" x14ac:dyDescent="0.3">
      <c r="A25" s="19" t="s">
        <v>68</v>
      </c>
      <c r="B25" s="24">
        <f t="shared" si="5"/>
        <v>50</v>
      </c>
      <c r="C25" s="21">
        <v>25.5</v>
      </c>
      <c r="D25" s="20">
        <f>35+301</f>
        <v>336</v>
      </c>
      <c r="E25" s="21">
        <v>15.5</v>
      </c>
      <c r="F25" s="24">
        <f t="shared" si="1"/>
        <v>40.4</v>
      </c>
      <c r="G25" s="21">
        <v>15.9</v>
      </c>
      <c r="H25" s="24">
        <f t="shared" si="2"/>
        <v>25.299999999999997</v>
      </c>
      <c r="I25" s="21">
        <v>16.3</v>
      </c>
      <c r="J25" s="24">
        <f t="shared" si="3"/>
        <v>41.2</v>
      </c>
      <c r="K25" s="21">
        <v>16.7</v>
      </c>
      <c r="L25" s="24">
        <f t="shared" si="4"/>
        <v>41.599999999999994</v>
      </c>
      <c r="M25" s="21">
        <v>17.099999999999998</v>
      </c>
      <c r="N25" s="24">
        <f>O25-Q25-O35</f>
        <v>40</v>
      </c>
      <c r="O25" s="59">
        <v>0</v>
      </c>
      <c r="P25" s="63" t="s">
        <v>52</v>
      </c>
      <c r="Q25" s="64">
        <f>E25-E35</f>
        <v>-24.5</v>
      </c>
    </row>
    <row r="26" spans="1:17" x14ac:dyDescent="0.25">
      <c r="A26" s="17" t="s">
        <v>67</v>
      </c>
      <c r="B26" s="25">
        <f t="shared" si="5"/>
        <v>20</v>
      </c>
      <c r="C26" s="18">
        <v>34</v>
      </c>
      <c r="D26" s="25">
        <f t="shared" ref="D26:D31" si="6">E26-Q26-E$35</f>
        <v>-30</v>
      </c>
      <c r="E26" s="18">
        <v>24</v>
      </c>
      <c r="F26" s="9">
        <v>4032</v>
      </c>
      <c r="G26" s="18">
        <v>14</v>
      </c>
      <c r="H26" s="25">
        <f t="shared" si="2"/>
        <v>-15.1</v>
      </c>
      <c r="I26" s="18">
        <v>14.4</v>
      </c>
      <c r="J26" s="25">
        <f t="shared" si="3"/>
        <v>0.80000000000000071</v>
      </c>
      <c r="K26" s="18">
        <v>14.8</v>
      </c>
      <c r="L26" s="25">
        <f t="shared" si="4"/>
        <v>1.2000000000000011</v>
      </c>
      <c r="M26" s="18">
        <v>15.200000000000001</v>
      </c>
      <c r="N26" s="25">
        <f>O26-Q26-O35</f>
        <v>1.5</v>
      </c>
      <c r="O26" s="58">
        <v>0</v>
      </c>
      <c r="P26" s="63" t="s">
        <v>53</v>
      </c>
      <c r="Q26" s="64">
        <f>G26-G35</f>
        <v>14</v>
      </c>
    </row>
    <row r="27" spans="1:17" ht="15.75" thickBot="1" x14ac:dyDescent="0.3">
      <c r="A27" s="19" t="s">
        <v>69</v>
      </c>
      <c r="B27" s="24">
        <f t="shared" si="5"/>
        <v>20</v>
      </c>
      <c r="C27" s="21">
        <v>35.5</v>
      </c>
      <c r="D27" s="24">
        <f t="shared" si="6"/>
        <v>-30</v>
      </c>
      <c r="E27" s="21">
        <v>25.5</v>
      </c>
      <c r="F27" s="20">
        <f>403+55</f>
        <v>458</v>
      </c>
      <c r="G27" s="21">
        <v>15.5</v>
      </c>
      <c r="H27" s="24">
        <f t="shared" si="2"/>
        <v>-15.1</v>
      </c>
      <c r="I27" s="21">
        <v>15.9</v>
      </c>
      <c r="J27" s="24">
        <f t="shared" si="3"/>
        <v>0.80000000000000071</v>
      </c>
      <c r="K27" s="21">
        <v>16.3</v>
      </c>
      <c r="L27" s="24">
        <f t="shared" si="4"/>
        <v>1.1999999999999993</v>
      </c>
      <c r="M27" s="21">
        <v>16.7</v>
      </c>
      <c r="N27" s="20">
        <f>605-55</f>
        <v>550</v>
      </c>
      <c r="O27" s="59">
        <v>0</v>
      </c>
      <c r="P27" s="63" t="s">
        <v>54</v>
      </c>
      <c r="Q27" s="64">
        <f>O27-O35</f>
        <v>15.5</v>
      </c>
    </row>
    <row r="28" spans="1:17" x14ac:dyDescent="0.25">
      <c r="A28" s="17" t="s">
        <v>64</v>
      </c>
      <c r="B28" s="25">
        <f t="shared" si="5"/>
        <v>45.5</v>
      </c>
      <c r="C28" s="18">
        <v>44</v>
      </c>
      <c r="D28" s="25">
        <f t="shared" si="6"/>
        <v>-4.5</v>
      </c>
      <c r="E28" s="18">
        <v>34</v>
      </c>
      <c r="F28" s="25">
        <f>G28-Q28-G$35</f>
        <v>25.5</v>
      </c>
      <c r="G28" s="18">
        <v>24</v>
      </c>
      <c r="H28" s="9">
        <f>4073+55+288</f>
        <v>4416</v>
      </c>
      <c r="I28" s="18">
        <v>14</v>
      </c>
      <c r="J28" s="25">
        <f>K28-Q28-K35</f>
        <v>15.9</v>
      </c>
      <c r="K28" s="18">
        <v>14.4</v>
      </c>
      <c r="L28" s="25">
        <f t="shared" si="4"/>
        <v>16.3</v>
      </c>
      <c r="M28" s="18">
        <v>14.8</v>
      </c>
      <c r="N28" s="25">
        <f>O28-Q28-O35</f>
        <v>17</v>
      </c>
      <c r="O28" s="58">
        <v>0</v>
      </c>
      <c r="P28" s="63" t="s">
        <v>49</v>
      </c>
      <c r="Q28" s="64">
        <f>I28-I35</f>
        <v>-1.5</v>
      </c>
    </row>
    <row r="29" spans="1:17" ht="15.75" thickBot="1" x14ac:dyDescent="0.3">
      <c r="A29" s="19" t="s">
        <v>70</v>
      </c>
      <c r="B29" s="24">
        <f t="shared" si="5"/>
        <v>45.5</v>
      </c>
      <c r="C29" s="21">
        <v>45.5</v>
      </c>
      <c r="D29" s="24">
        <f t="shared" si="6"/>
        <v>-4.5</v>
      </c>
      <c r="E29" s="21">
        <v>35.5</v>
      </c>
      <c r="F29" s="24">
        <f t="shared" ref="F29:F33" si="7">G29-Q29-G$35</f>
        <v>25.5</v>
      </c>
      <c r="G29" s="21">
        <v>25.5</v>
      </c>
      <c r="H29" s="20">
        <f>1104-55-288</f>
        <v>761</v>
      </c>
      <c r="I29" s="21">
        <v>15.5</v>
      </c>
      <c r="J29" s="24">
        <f>K29-Q29-K35</f>
        <v>15.9</v>
      </c>
      <c r="K29" s="21">
        <v>15.9</v>
      </c>
      <c r="L29" s="24">
        <f t="shared" si="4"/>
        <v>16.3</v>
      </c>
      <c r="M29" s="21">
        <v>16.3</v>
      </c>
      <c r="N29" s="20">
        <f>55+288</f>
        <v>343</v>
      </c>
      <c r="O29" s="59">
        <v>0</v>
      </c>
      <c r="P29" s="63" t="s">
        <v>55</v>
      </c>
      <c r="Q29" s="64">
        <f>O29-O36</f>
        <v>0</v>
      </c>
    </row>
    <row r="30" spans="1:17" x14ac:dyDescent="0.25">
      <c r="A30" s="17" t="s">
        <v>65</v>
      </c>
      <c r="B30" s="25">
        <f t="shared" si="5"/>
        <v>40</v>
      </c>
      <c r="C30" s="18">
        <v>54</v>
      </c>
      <c r="D30" s="25">
        <f t="shared" si="6"/>
        <v>-10</v>
      </c>
      <c r="E30" s="18">
        <v>44</v>
      </c>
      <c r="F30" s="25">
        <f t="shared" si="7"/>
        <v>20</v>
      </c>
      <c r="G30" s="18">
        <v>34</v>
      </c>
      <c r="H30" s="25">
        <f>I30-Q30-I$35</f>
        <v>-5.5</v>
      </c>
      <c r="I30" s="18">
        <v>24</v>
      </c>
      <c r="J30" s="9">
        <f>3243+55+288+411+35</f>
        <v>4032</v>
      </c>
      <c r="K30" s="18">
        <v>14</v>
      </c>
      <c r="L30" s="25">
        <f>M30-Q30-M35</f>
        <v>0.40000000000000036</v>
      </c>
      <c r="M30" s="18">
        <v>14.4</v>
      </c>
      <c r="N30" s="25">
        <f>O30-Q30-O$35</f>
        <v>1.5</v>
      </c>
      <c r="O30" s="58">
        <v>0</v>
      </c>
      <c r="P30" s="63" t="s">
        <v>56</v>
      </c>
      <c r="Q30" s="64">
        <f>K30-K35</f>
        <v>14</v>
      </c>
    </row>
    <row r="31" spans="1:17" ht="15.75" thickBot="1" x14ac:dyDescent="0.3">
      <c r="A31" s="19" t="s">
        <v>71</v>
      </c>
      <c r="B31" s="24">
        <f>C31-Q31-C$35</f>
        <v>40</v>
      </c>
      <c r="C31" s="21">
        <v>55.5</v>
      </c>
      <c r="D31" s="24">
        <f t="shared" si="6"/>
        <v>-10</v>
      </c>
      <c r="E31" s="21">
        <v>45.5</v>
      </c>
      <c r="F31" s="24">
        <f t="shared" si="7"/>
        <v>20</v>
      </c>
      <c r="G31" s="21">
        <v>35.5</v>
      </c>
      <c r="H31" s="24">
        <f t="shared" ref="H31:H33" si="8">I31-Q31-I$35</f>
        <v>-5.5</v>
      </c>
      <c r="I31" s="21">
        <v>25.5</v>
      </c>
      <c r="J31" s="20">
        <f>1008-411-35</f>
        <v>562</v>
      </c>
      <c r="K31" s="21">
        <v>15.5</v>
      </c>
      <c r="L31" s="24">
        <f>M31-Q31-M35</f>
        <v>0.40000000000000036</v>
      </c>
      <c r="M31" s="21">
        <v>15.9</v>
      </c>
      <c r="N31" s="20">
        <f>411+35</f>
        <v>446</v>
      </c>
      <c r="O31" s="59">
        <v>0</v>
      </c>
      <c r="P31" s="63" t="s">
        <v>57</v>
      </c>
      <c r="Q31" s="64">
        <f>O31-O35</f>
        <v>15.5</v>
      </c>
    </row>
    <row r="32" spans="1:17" x14ac:dyDescent="0.25">
      <c r="A32" s="17" t="s">
        <v>66</v>
      </c>
      <c r="B32" s="50">
        <f>C32-Q32-C35</f>
        <v>50</v>
      </c>
      <c r="C32" s="49">
        <v>64</v>
      </c>
      <c r="D32" s="48">
        <f>1181-35-301</f>
        <v>845</v>
      </c>
      <c r="E32" s="49">
        <v>54</v>
      </c>
      <c r="F32" s="50">
        <f t="shared" si="7"/>
        <v>30</v>
      </c>
      <c r="G32" s="49">
        <v>44</v>
      </c>
      <c r="H32" s="50">
        <f t="shared" si="8"/>
        <v>4.5</v>
      </c>
      <c r="I32" s="49">
        <v>34</v>
      </c>
      <c r="J32" s="50">
        <f>K32-Q32-I35</f>
        <v>-5.5</v>
      </c>
      <c r="K32" s="49">
        <v>24</v>
      </c>
      <c r="L32" s="48">
        <f>1905+55+288+411+35+301</f>
        <v>2995</v>
      </c>
      <c r="M32" s="49">
        <v>14</v>
      </c>
      <c r="N32" s="50">
        <f t="shared" ref="N32" si="9">O32-Q32-O$35</f>
        <v>1.5</v>
      </c>
      <c r="O32" s="60">
        <v>0</v>
      </c>
      <c r="P32" s="63" t="s">
        <v>58</v>
      </c>
      <c r="Q32" s="64">
        <f>M32-M35</f>
        <v>14</v>
      </c>
    </row>
    <row r="33" spans="1:17" ht="15.75" thickBot="1" x14ac:dyDescent="0.3">
      <c r="A33" s="19" t="s">
        <v>72</v>
      </c>
      <c r="B33" s="24">
        <f>C33-Q33-C35</f>
        <v>50</v>
      </c>
      <c r="C33" s="21">
        <v>65.5</v>
      </c>
      <c r="D33" s="24">
        <f>E33-Q33-E35</f>
        <v>0</v>
      </c>
      <c r="E33" s="21">
        <v>55.5</v>
      </c>
      <c r="F33" s="24">
        <f t="shared" si="7"/>
        <v>30</v>
      </c>
      <c r="G33" s="21">
        <v>45.5</v>
      </c>
      <c r="H33" s="24">
        <f t="shared" si="8"/>
        <v>4.5</v>
      </c>
      <c r="I33" s="21">
        <v>35.5</v>
      </c>
      <c r="J33" s="24">
        <f>K33-Q33-K35</f>
        <v>10</v>
      </c>
      <c r="K33" s="21">
        <v>25.5</v>
      </c>
      <c r="L33" s="20">
        <f>960-301</f>
        <v>659</v>
      </c>
      <c r="M33" s="21">
        <v>15.5</v>
      </c>
      <c r="N33" s="20">
        <v>301</v>
      </c>
      <c r="O33" s="59">
        <v>0</v>
      </c>
      <c r="P33" s="65" t="s">
        <v>59</v>
      </c>
      <c r="Q33" s="66">
        <f>O33-O35</f>
        <v>15.5</v>
      </c>
    </row>
    <row r="34" spans="1:17" ht="15.75" thickBot="1" x14ac:dyDescent="0.3"/>
    <row r="35" spans="1:17" ht="15.75" thickBot="1" x14ac:dyDescent="0.3">
      <c r="B35" s="67" t="s">
        <v>40</v>
      </c>
      <c r="C35" s="68">
        <f>C21-Q21</f>
        <v>0</v>
      </c>
      <c r="D35" s="69" t="s">
        <v>41</v>
      </c>
      <c r="E35" s="68">
        <f>E32-Q32</f>
        <v>40</v>
      </c>
      <c r="F35" s="69" t="s">
        <v>42</v>
      </c>
      <c r="G35" s="68">
        <f>G27-Q27</f>
        <v>0</v>
      </c>
      <c r="H35" s="69" t="s">
        <v>43</v>
      </c>
      <c r="I35" s="68">
        <f>I29-Q29</f>
        <v>15.5</v>
      </c>
      <c r="J35" s="69" t="s">
        <v>44</v>
      </c>
      <c r="K35" s="68">
        <f>K31-Q31</f>
        <v>0</v>
      </c>
      <c r="L35" s="69" t="s">
        <v>45</v>
      </c>
      <c r="M35" s="68">
        <f>M33-Q33</f>
        <v>0</v>
      </c>
      <c r="N35" s="69" t="s">
        <v>46</v>
      </c>
      <c r="O35" s="70">
        <f>'6º it.'!O23-'6º it.'!Q23</f>
        <v>-15.5</v>
      </c>
    </row>
    <row r="38" spans="1:17" ht="15.75" thickBot="1" x14ac:dyDescent="0.3"/>
    <row r="39" spans="1:17" ht="19.5" thickBot="1" x14ac:dyDescent="0.35">
      <c r="H39" s="126" t="s">
        <v>39</v>
      </c>
      <c r="I39" s="125">
        <f>SUM(B21*C21+B22*C22+B23*C23+D24*E24+D32*E32+F26*G26+F27*G27+H28*I28+H29*I29+J30*K30+J31*K31+L33*M33+L32*M32+D25*E25+N31*O31+N29*O29+N27*O27+N33*O33+N23*O23)</f>
        <v>383342.5</v>
      </c>
    </row>
  </sheetData>
  <mergeCells count="8">
    <mergeCell ref="N20:O20"/>
    <mergeCell ref="B19:L19"/>
    <mergeCell ref="B20:C20"/>
    <mergeCell ref="D20:E20"/>
    <mergeCell ref="F20:G20"/>
    <mergeCell ref="H20:I20"/>
    <mergeCell ref="J20:K20"/>
    <mergeCell ref="L20:M2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Q39"/>
  <sheetViews>
    <sheetView topLeftCell="A16" zoomScale="75" zoomScaleNormal="75" workbookViewId="0">
      <selection activeCell="A19" sqref="A19:Q39"/>
    </sheetView>
  </sheetViews>
  <sheetFormatPr baseColWidth="10" defaultRowHeight="15" x14ac:dyDescent="0.25"/>
  <cols>
    <col min="9" max="9" width="18" bestFit="1" customWidth="1"/>
  </cols>
  <sheetData>
    <row r="18" spans="1:17" ht="15.75" thickBot="1" x14ac:dyDescent="0.3"/>
    <row r="19" spans="1:17" ht="15.75" thickBot="1" x14ac:dyDescent="0.3">
      <c r="A19" s="40"/>
      <c r="B19" s="140" t="s">
        <v>35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39"/>
    </row>
    <row r="20" spans="1:17" ht="15.75" thickBot="1" x14ac:dyDescent="0.3">
      <c r="A20" s="13" t="s">
        <v>36</v>
      </c>
      <c r="B20" s="153" t="s">
        <v>0</v>
      </c>
      <c r="C20" s="155"/>
      <c r="D20" s="153" t="s">
        <v>2</v>
      </c>
      <c r="E20" s="155"/>
      <c r="F20" s="153" t="s">
        <v>4</v>
      </c>
      <c r="G20" s="155"/>
      <c r="H20" s="153" t="s">
        <v>6</v>
      </c>
      <c r="I20" s="155"/>
      <c r="J20" s="153" t="s">
        <v>8</v>
      </c>
      <c r="K20" s="155"/>
      <c r="L20" s="153" t="s">
        <v>10</v>
      </c>
      <c r="M20" s="155"/>
      <c r="N20" s="153" t="s">
        <v>13</v>
      </c>
      <c r="O20" s="155"/>
    </row>
    <row r="21" spans="1:17" ht="15.75" thickBot="1" x14ac:dyDescent="0.3">
      <c r="A21" s="14" t="s">
        <v>12</v>
      </c>
      <c r="B21" s="15">
        <v>150</v>
      </c>
      <c r="C21" s="16">
        <f>-Q21</f>
        <v>0</v>
      </c>
      <c r="D21" s="26">
        <f>E21-Q21-E$35</f>
        <v>0</v>
      </c>
      <c r="E21" s="16">
        <v>0.4</v>
      </c>
      <c r="F21" s="26">
        <f>G21-Q21-G$35</f>
        <v>40.4</v>
      </c>
      <c r="G21" s="16">
        <v>0.8</v>
      </c>
      <c r="H21" s="26">
        <f>I21-Q21-I$35</f>
        <v>40.800000000000004</v>
      </c>
      <c r="I21" s="16">
        <v>1.2000000000000002</v>
      </c>
      <c r="J21" s="26">
        <f>K21-Q21-K$35</f>
        <v>41.2</v>
      </c>
      <c r="K21" s="16">
        <v>1.6</v>
      </c>
      <c r="L21" s="26">
        <f>M21-Q21-M$35</f>
        <v>41.6</v>
      </c>
      <c r="M21" s="16">
        <v>2</v>
      </c>
      <c r="N21" s="26">
        <f>O21-Q21-O35</f>
        <v>55.1</v>
      </c>
      <c r="O21" s="16">
        <v>0</v>
      </c>
      <c r="P21" s="61" t="s">
        <v>47</v>
      </c>
      <c r="Q21" s="62">
        <v>0</v>
      </c>
    </row>
    <row r="22" spans="1:17" x14ac:dyDescent="0.25">
      <c r="A22" s="17" t="s">
        <v>61</v>
      </c>
      <c r="B22" s="9">
        <f>3456-165</f>
        <v>3291</v>
      </c>
      <c r="C22" s="18">
        <v>14</v>
      </c>
      <c r="D22" s="9">
        <v>165</v>
      </c>
      <c r="E22" s="18">
        <v>14.4</v>
      </c>
      <c r="F22" s="25">
        <f t="shared" ref="F22:F25" si="0">G22-Q22-G$35</f>
        <v>40.400000000000006</v>
      </c>
      <c r="G22" s="18">
        <v>14.8</v>
      </c>
      <c r="H22" s="25">
        <f t="shared" ref="H22:H27" si="1">I22-Q22-I$35</f>
        <v>40.800000000000004</v>
      </c>
      <c r="I22" s="18">
        <v>15.200000000000001</v>
      </c>
      <c r="J22" s="25">
        <f t="shared" ref="J22:J27" si="2">K22-Q22-K$35</f>
        <v>41.2</v>
      </c>
      <c r="K22" s="18">
        <v>15.600000000000001</v>
      </c>
      <c r="L22" s="25">
        <f t="shared" ref="L22:L29" si="3">M22-Q22-M$35</f>
        <v>41.6</v>
      </c>
      <c r="M22" s="18">
        <v>16</v>
      </c>
      <c r="N22" s="25">
        <f>O22-Q22-O35</f>
        <v>41.1</v>
      </c>
      <c r="O22" s="18">
        <v>0</v>
      </c>
      <c r="P22" s="63" t="s">
        <v>48</v>
      </c>
      <c r="Q22" s="64">
        <f>C22-C35</f>
        <v>14</v>
      </c>
    </row>
    <row r="23" spans="1:17" ht="15.75" thickBot="1" x14ac:dyDescent="0.3">
      <c r="A23" s="19" t="s">
        <v>62</v>
      </c>
      <c r="B23" s="20">
        <f>288+411+165</f>
        <v>864</v>
      </c>
      <c r="C23" s="21">
        <v>15.5</v>
      </c>
      <c r="D23" s="24">
        <f t="shared" ref="D23" si="4">E23-Q23-E$35</f>
        <v>0</v>
      </c>
      <c r="E23" s="21">
        <v>15.9</v>
      </c>
      <c r="F23" s="24">
        <f t="shared" si="0"/>
        <v>40.400000000000006</v>
      </c>
      <c r="G23" s="21">
        <v>16.3</v>
      </c>
      <c r="H23" s="24">
        <f t="shared" si="1"/>
        <v>40.799999999999997</v>
      </c>
      <c r="I23" s="21">
        <v>16.7</v>
      </c>
      <c r="J23" s="24">
        <f t="shared" si="2"/>
        <v>41.2</v>
      </c>
      <c r="K23" s="21">
        <v>17.100000000000001</v>
      </c>
      <c r="L23" s="24">
        <f t="shared" si="3"/>
        <v>41.6</v>
      </c>
      <c r="M23" s="21">
        <v>17.5</v>
      </c>
      <c r="N23" s="24">
        <f>O23-Q23-O35</f>
        <v>39.6</v>
      </c>
      <c r="O23" s="21">
        <v>0</v>
      </c>
      <c r="P23" s="63" t="s">
        <v>50</v>
      </c>
      <c r="Q23" s="64">
        <f>C23-C35</f>
        <v>15.5</v>
      </c>
    </row>
    <row r="24" spans="1:17" x14ac:dyDescent="0.25">
      <c r="A24" s="17" t="s">
        <v>63</v>
      </c>
      <c r="B24" s="25">
        <f t="shared" ref="B24:B30" si="5">C24-Q24-C$35</f>
        <v>10.4</v>
      </c>
      <c r="C24" s="18">
        <v>24</v>
      </c>
      <c r="D24" s="9">
        <v>1344</v>
      </c>
      <c r="E24" s="18">
        <v>14</v>
      </c>
      <c r="F24" s="25">
        <f t="shared" si="0"/>
        <v>40.400000000000006</v>
      </c>
      <c r="G24" s="18">
        <v>14.4</v>
      </c>
      <c r="H24" s="25">
        <f t="shared" si="1"/>
        <v>40.800000000000004</v>
      </c>
      <c r="I24" s="18">
        <v>14.8</v>
      </c>
      <c r="J24" s="25">
        <f t="shared" si="2"/>
        <v>41.2</v>
      </c>
      <c r="K24" s="18">
        <v>15.200000000000001</v>
      </c>
      <c r="L24" s="25">
        <f t="shared" si="3"/>
        <v>41.6</v>
      </c>
      <c r="M24" s="18">
        <v>15.600000000000001</v>
      </c>
      <c r="N24" s="25">
        <f>O24-Q24-O35</f>
        <v>41.5</v>
      </c>
      <c r="O24" s="18">
        <v>0</v>
      </c>
      <c r="P24" s="63" t="s">
        <v>51</v>
      </c>
      <c r="Q24" s="64">
        <f>E24-E35</f>
        <v>13.6</v>
      </c>
    </row>
    <row r="25" spans="1:17" ht="15.75" thickBot="1" x14ac:dyDescent="0.3">
      <c r="A25" s="19" t="s">
        <v>68</v>
      </c>
      <c r="B25" s="24">
        <f t="shared" si="5"/>
        <v>10.4</v>
      </c>
      <c r="C25" s="21">
        <v>25.5</v>
      </c>
      <c r="D25" s="20">
        <f>35+301</f>
        <v>336</v>
      </c>
      <c r="E25" s="21">
        <v>15.5</v>
      </c>
      <c r="F25" s="24">
        <f t="shared" si="0"/>
        <v>40.400000000000006</v>
      </c>
      <c r="G25" s="21">
        <v>15.9</v>
      </c>
      <c r="H25" s="24">
        <f t="shared" si="1"/>
        <v>40.800000000000004</v>
      </c>
      <c r="I25" s="21">
        <v>16.3</v>
      </c>
      <c r="J25" s="24">
        <f t="shared" si="2"/>
        <v>41.2</v>
      </c>
      <c r="K25" s="21">
        <v>16.7</v>
      </c>
      <c r="L25" s="24">
        <f t="shared" si="3"/>
        <v>41.6</v>
      </c>
      <c r="M25" s="21">
        <v>17.099999999999998</v>
      </c>
      <c r="N25" s="24">
        <f>O25-Q25-O35</f>
        <v>40</v>
      </c>
      <c r="O25" s="21">
        <v>0</v>
      </c>
      <c r="P25" s="63" t="s">
        <v>52</v>
      </c>
      <c r="Q25" s="64">
        <f>E25-E35</f>
        <v>15.1</v>
      </c>
    </row>
    <row r="26" spans="1:17" x14ac:dyDescent="0.25">
      <c r="A26" s="17" t="s">
        <v>67</v>
      </c>
      <c r="B26" s="25">
        <f t="shared" si="5"/>
        <v>-19.600000000000001</v>
      </c>
      <c r="C26" s="18">
        <v>34</v>
      </c>
      <c r="D26" s="25">
        <f t="shared" ref="D26:D31" si="6">E26-Q26-E$35</f>
        <v>-30</v>
      </c>
      <c r="E26" s="18">
        <v>24</v>
      </c>
      <c r="F26" s="9">
        <v>4032</v>
      </c>
      <c r="G26" s="18">
        <v>14</v>
      </c>
      <c r="H26" s="25">
        <f t="shared" si="1"/>
        <v>0.39999999999999858</v>
      </c>
      <c r="I26" s="18">
        <v>14.4</v>
      </c>
      <c r="J26" s="25">
        <f t="shared" si="2"/>
        <v>0.80000000000000426</v>
      </c>
      <c r="K26" s="18">
        <v>14.8</v>
      </c>
      <c r="L26" s="25">
        <f t="shared" si="3"/>
        <v>1.2000000000000028</v>
      </c>
      <c r="M26" s="18">
        <v>15.200000000000001</v>
      </c>
      <c r="N26" s="25">
        <f>O26-Q26-O35</f>
        <v>1.5</v>
      </c>
      <c r="O26" s="18">
        <v>0</v>
      </c>
      <c r="P26" s="63" t="s">
        <v>53</v>
      </c>
      <c r="Q26" s="64">
        <f>G26-G35</f>
        <v>53.6</v>
      </c>
    </row>
    <row r="27" spans="1:17" ht="15.75" thickBot="1" x14ac:dyDescent="0.3">
      <c r="A27" s="19" t="s">
        <v>69</v>
      </c>
      <c r="B27" s="24">
        <f t="shared" si="5"/>
        <v>-19.600000000000001</v>
      </c>
      <c r="C27" s="21">
        <v>35.5</v>
      </c>
      <c r="D27" s="28">
        <f t="shared" si="6"/>
        <v>-30</v>
      </c>
      <c r="E27" s="21">
        <v>25.5</v>
      </c>
      <c r="F27" s="20">
        <f>403+55</f>
        <v>458</v>
      </c>
      <c r="G27" s="21">
        <v>15.5</v>
      </c>
      <c r="H27" s="24">
        <f t="shared" si="1"/>
        <v>0.39999999999999858</v>
      </c>
      <c r="I27" s="21">
        <v>15.9</v>
      </c>
      <c r="J27" s="24">
        <f t="shared" si="2"/>
        <v>0.80000000000000426</v>
      </c>
      <c r="K27" s="21">
        <v>16.3</v>
      </c>
      <c r="L27" s="24">
        <f t="shared" si="3"/>
        <v>1.1999999999999957</v>
      </c>
      <c r="M27" s="21">
        <v>16.7</v>
      </c>
      <c r="N27" s="20">
        <f>605-55</f>
        <v>550</v>
      </c>
      <c r="O27" s="21">
        <v>0</v>
      </c>
      <c r="P27" s="63" t="s">
        <v>54</v>
      </c>
      <c r="Q27" s="64">
        <f>O27-O35</f>
        <v>55.1</v>
      </c>
    </row>
    <row r="28" spans="1:17" x14ac:dyDescent="0.25">
      <c r="A28" s="17" t="s">
        <v>64</v>
      </c>
      <c r="B28" s="25">
        <f t="shared" si="5"/>
        <v>-9.6000000000000014</v>
      </c>
      <c r="C28" s="18">
        <v>44</v>
      </c>
      <c r="D28" s="25">
        <f t="shared" si="6"/>
        <v>-20</v>
      </c>
      <c r="E28" s="18">
        <v>34</v>
      </c>
      <c r="F28" s="25">
        <f>G28-Q28-G$35</f>
        <v>10</v>
      </c>
      <c r="G28" s="18">
        <v>24</v>
      </c>
      <c r="H28" s="9">
        <f>4073+55+288</f>
        <v>4416</v>
      </c>
      <c r="I28" s="18">
        <v>14</v>
      </c>
      <c r="J28" s="25">
        <f>K28-Q28-K35</f>
        <v>0.39999999999999858</v>
      </c>
      <c r="K28" s="18">
        <v>14.4</v>
      </c>
      <c r="L28" s="25">
        <f t="shared" si="3"/>
        <v>0.80000000000000426</v>
      </c>
      <c r="M28" s="18">
        <v>14.8</v>
      </c>
      <c r="N28" s="25">
        <f>O28-Q28-O35</f>
        <v>1.5</v>
      </c>
      <c r="O28" s="18">
        <v>0</v>
      </c>
      <c r="P28" s="63" t="s">
        <v>49</v>
      </c>
      <c r="Q28" s="64">
        <f>I28-I35</f>
        <v>53.6</v>
      </c>
    </row>
    <row r="29" spans="1:17" ht="15.75" thickBot="1" x14ac:dyDescent="0.3">
      <c r="A29" s="19" t="s">
        <v>70</v>
      </c>
      <c r="B29" s="24">
        <f t="shared" si="5"/>
        <v>-9.6000000000000014</v>
      </c>
      <c r="C29" s="21">
        <v>45.5</v>
      </c>
      <c r="D29" s="24">
        <f t="shared" si="6"/>
        <v>-20</v>
      </c>
      <c r="E29" s="21">
        <v>35.5</v>
      </c>
      <c r="F29" s="24">
        <f t="shared" ref="F29:F33" si="7">G29-Q29-G$35</f>
        <v>10</v>
      </c>
      <c r="G29" s="21">
        <v>25.5</v>
      </c>
      <c r="H29" s="20">
        <f>1104-55-288</f>
        <v>761</v>
      </c>
      <c r="I29" s="21">
        <v>15.5</v>
      </c>
      <c r="J29" s="24">
        <f>K29-Q29-K35</f>
        <v>0.39999999999999858</v>
      </c>
      <c r="K29" s="21">
        <v>15.9</v>
      </c>
      <c r="L29" s="24">
        <f t="shared" si="3"/>
        <v>0.80000000000000426</v>
      </c>
      <c r="M29" s="21">
        <v>16.3</v>
      </c>
      <c r="N29" s="20">
        <f>55+288</f>
        <v>343</v>
      </c>
      <c r="O29" s="21">
        <v>0</v>
      </c>
      <c r="P29" s="63" t="s">
        <v>55</v>
      </c>
      <c r="Q29" s="64">
        <f>O29-O35</f>
        <v>55.1</v>
      </c>
    </row>
    <row r="30" spans="1:17" x14ac:dyDescent="0.25">
      <c r="A30" s="17" t="s">
        <v>65</v>
      </c>
      <c r="B30" s="25">
        <f t="shared" si="5"/>
        <v>0.39999999999999858</v>
      </c>
      <c r="C30" s="18">
        <v>54</v>
      </c>
      <c r="D30" s="25">
        <f t="shared" si="6"/>
        <v>-10.000000000000002</v>
      </c>
      <c r="E30" s="18">
        <v>44</v>
      </c>
      <c r="F30" s="25">
        <f t="shared" si="7"/>
        <v>20</v>
      </c>
      <c r="G30" s="18">
        <v>34</v>
      </c>
      <c r="H30" s="25">
        <f>I30-Q30-I$35</f>
        <v>10</v>
      </c>
      <c r="I30" s="18">
        <v>24</v>
      </c>
      <c r="J30" s="9">
        <f>3243+55+288+411+35</f>
        <v>4032</v>
      </c>
      <c r="K30" s="18">
        <v>14</v>
      </c>
      <c r="L30" s="25">
        <f>M30-Q30-M35</f>
        <v>0.39999999999999858</v>
      </c>
      <c r="M30" s="18">
        <v>14.4</v>
      </c>
      <c r="N30" s="25">
        <f>O30-Q30-O$35</f>
        <v>1.5</v>
      </c>
      <c r="O30" s="18">
        <v>0</v>
      </c>
      <c r="P30" s="63" t="s">
        <v>56</v>
      </c>
      <c r="Q30" s="64">
        <f>K30-K35</f>
        <v>53.6</v>
      </c>
    </row>
    <row r="31" spans="1:17" ht="15.75" thickBot="1" x14ac:dyDescent="0.3">
      <c r="A31" s="19" t="s">
        <v>71</v>
      </c>
      <c r="B31" s="24">
        <f>C31-Q31-C$35</f>
        <v>0.39999999999999858</v>
      </c>
      <c r="C31" s="21">
        <v>55.5</v>
      </c>
      <c r="D31" s="24">
        <f t="shared" si="6"/>
        <v>-10.000000000000002</v>
      </c>
      <c r="E31" s="21">
        <v>45.5</v>
      </c>
      <c r="F31" s="24">
        <f t="shared" si="7"/>
        <v>20</v>
      </c>
      <c r="G31" s="21">
        <v>35.5</v>
      </c>
      <c r="H31" s="24">
        <f t="shared" ref="H31:H33" si="8">I31-Q31-I$35</f>
        <v>10</v>
      </c>
      <c r="I31" s="21">
        <v>25.5</v>
      </c>
      <c r="J31" s="20">
        <f>1008-411-35</f>
        <v>562</v>
      </c>
      <c r="K31" s="21">
        <v>15.5</v>
      </c>
      <c r="L31" s="24">
        <f>M31-Q31-M35</f>
        <v>0.39999999999999858</v>
      </c>
      <c r="M31" s="21">
        <v>15.9</v>
      </c>
      <c r="N31" s="20">
        <f>411+35</f>
        <v>446</v>
      </c>
      <c r="O31" s="21">
        <v>0</v>
      </c>
      <c r="P31" s="63" t="s">
        <v>57</v>
      </c>
      <c r="Q31" s="64">
        <f>O31-O35</f>
        <v>55.1</v>
      </c>
    </row>
    <row r="32" spans="1:17" x14ac:dyDescent="0.25">
      <c r="A32" s="17" t="s">
        <v>66</v>
      </c>
      <c r="B32" s="50">
        <f>C32-Q32-C35</f>
        <v>10.399999999999999</v>
      </c>
      <c r="C32" s="49">
        <v>64</v>
      </c>
      <c r="D32" s="48">
        <f>1181-35-301-165</f>
        <v>680</v>
      </c>
      <c r="E32" s="49">
        <v>54</v>
      </c>
      <c r="F32" s="50">
        <f t="shared" si="7"/>
        <v>30</v>
      </c>
      <c r="G32" s="49">
        <v>44</v>
      </c>
      <c r="H32" s="50">
        <f t="shared" si="8"/>
        <v>20</v>
      </c>
      <c r="I32" s="49">
        <v>34</v>
      </c>
      <c r="J32" s="50">
        <f>K32-Q32-I35</f>
        <v>10</v>
      </c>
      <c r="K32" s="49">
        <v>24</v>
      </c>
      <c r="L32" s="48">
        <f>1905+55+288+411+35+301+165</f>
        <v>3160</v>
      </c>
      <c r="M32" s="49">
        <v>14</v>
      </c>
      <c r="N32" s="50">
        <f t="shared" ref="N32" si="9">O32-Q32-O$35</f>
        <v>1.5</v>
      </c>
      <c r="O32" s="60">
        <v>0</v>
      </c>
      <c r="P32" s="63" t="s">
        <v>58</v>
      </c>
      <c r="Q32" s="64">
        <f>E32-E35</f>
        <v>53.6</v>
      </c>
    </row>
    <row r="33" spans="1:17" ht="15.75" thickBot="1" x14ac:dyDescent="0.3">
      <c r="A33" s="19" t="s">
        <v>72</v>
      </c>
      <c r="B33" s="24">
        <f>C33-Q33-C35</f>
        <v>10.399999999999999</v>
      </c>
      <c r="C33" s="21">
        <v>65.5</v>
      </c>
      <c r="D33" s="24">
        <f>E33-Q33-E35</f>
        <v>-1.7763568394002505E-15</v>
      </c>
      <c r="E33" s="21">
        <v>55.5</v>
      </c>
      <c r="F33" s="24">
        <f t="shared" si="7"/>
        <v>30</v>
      </c>
      <c r="G33" s="21">
        <v>45.5</v>
      </c>
      <c r="H33" s="24">
        <f t="shared" si="8"/>
        <v>20</v>
      </c>
      <c r="I33" s="21">
        <v>35.5</v>
      </c>
      <c r="J33" s="24">
        <f>K33-Q33-K35</f>
        <v>10</v>
      </c>
      <c r="K33" s="21">
        <v>25.5</v>
      </c>
      <c r="L33" s="27">
        <f>960-301-165</f>
        <v>494</v>
      </c>
      <c r="M33" s="21">
        <v>15.5</v>
      </c>
      <c r="N33" s="20">
        <f>301+165</f>
        <v>466</v>
      </c>
      <c r="O33" s="59">
        <v>0</v>
      </c>
      <c r="P33" s="65" t="s">
        <v>59</v>
      </c>
      <c r="Q33" s="66">
        <f>M33-M35</f>
        <v>55.1</v>
      </c>
    </row>
    <row r="34" spans="1:17" ht="15.75" thickBot="1" x14ac:dyDescent="0.3"/>
    <row r="35" spans="1:17" ht="15.75" thickBot="1" x14ac:dyDescent="0.3">
      <c r="B35" s="67" t="s">
        <v>40</v>
      </c>
      <c r="C35" s="68">
        <f>C21-Q21</f>
        <v>0</v>
      </c>
      <c r="D35" s="69" t="s">
        <v>41</v>
      </c>
      <c r="E35" s="68">
        <f>E22-Q22</f>
        <v>0.40000000000000036</v>
      </c>
      <c r="F35" s="69" t="s">
        <v>42</v>
      </c>
      <c r="G35" s="68">
        <f>G27-Q27</f>
        <v>-39.6</v>
      </c>
      <c r="H35" s="69" t="s">
        <v>43</v>
      </c>
      <c r="I35" s="68">
        <f>I29-Q29</f>
        <v>-39.6</v>
      </c>
      <c r="J35" s="69" t="s">
        <v>44</v>
      </c>
      <c r="K35" s="68">
        <f>K31-Q31</f>
        <v>-39.6</v>
      </c>
      <c r="L35" s="69" t="s">
        <v>45</v>
      </c>
      <c r="M35" s="68">
        <f>M32-Q32</f>
        <v>-39.6</v>
      </c>
      <c r="N35" s="69" t="s">
        <v>46</v>
      </c>
      <c r="O35" s="70">
        <f>O33-Q33</f>
        <v>-55.1</v>
      </c>
    </row>
    <row r="38" spans="1:17" ht="15.75" thickBot="1" x14ac:dyDescent="0.3"/>
    <row r="39" spans="1:17" ht="19.5" thickBot="1" x14ac:dyDescent="0.35">
      <c r="H39" s="126" t="s">
        <v>39</v>
      </c>
      <c r="I39" s="125">
        <f>SUM(B21*C21+B22*C22+B23*C23+D24*E24+D32*E32+F26*G26+F27*G27+H28*I28+H29*I29+J30*K30+J31*K31+L33*M33+L32*M32+D25*E25+N31*O31+N29*O29+N27*O27+N33*O33+D22*E22)</f>
        <v>376808.5</v>
      </c>
    </row>
  </sheetData>
  <mergeCells count="8">
    <mergeCell ref="B19:O19"/>
    <mergeCell ref="N20:O20"/>
    <mergeCell ref="B20:C20"/>
    <mergeCell ref="D20:E20"/>
    <mergeCell ref="F20:G20"/>
    <mergeCell ref="H20:I20"/>
    <mergeCell ref="J20:K20"/>
    <mergeCell ref="L20:M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Solver</vt:lpstr>
      <vt:lpstr>Solucion inicial</vt:lpstr>
      <vt:lpstr>1º it.</vt:lpstr>
      <vt:lpstr>2º it.</vt:lpstr>
      <vt:lpstr>3º it.</vt:lpstr>
      <vt:lpstr>4º it.</vt:lpstr>
      <vt:lpstr>5º it.</vt:lpstr>
      <vt:lpstr>6º it.</vt:lpstr>
      <vt:lpstr>7º it.</vt:lpstr>
      <vt:lpstr>8º it.</vt:lpstr>
      <vt:lpstr>9º it.</vt:lpstr>
      <vt:lpstr>Sol. optima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Prevecion</dc:creator>
  <cp:lastModifiedBy>Jon</cp:lastModifiedBy>
  <cp:lastPrinted>2018-06-08T07:36:46Z</cp:lastPrinted>
  <dcterms:created xsi:type="dcterms:W3CDTF">2018-06-08T06:50:19Z</dcterms:created>
  <dcterms:modified xsi:type="dcterms:W3CDTF">2018-07-04T08:13:46Z</dcterms:modified>
</cp:coreProperties>
</file>