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Default Extension="emf" ContentType="image/x-emf"/>
  <Override PartName="/xl/drawings/drawing5.xml" ContentType="application/vnd.openxmlformats-officedocument.drawing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00000000-0000-0000-0000-000000000000}"/>
  <workbookPr showInkAnnotation="0" codeName="ThisWorkbook" defaultThemeVersion="124226"/>
  <bookViews>
    <workbookView xWindow="-375" yWindow="255" windowWidth="2520" windowHeight="2250" tabRatio="611"/>
  </bookViews>
  <sheets>
    <sheet name="Registro" sheetId="13" r:id="rId1"/>
    <sheet name="1-3" sheetId="1" r:id="rId2"/>
    <sheet name="4-7" sheetId="2" r:id="rId3"/>
    <sheet name="8-11" sheetId="3" r:id="rId4"/>
    <sheet name="12-15" sheetId="4" r:id="rId5"/>
    <sheet name="16" sheetId="5" r:id="rId6"/>
    <sheet name="17-23" sheetId="6" r:id="rId7"/>
    <sheet name="24-30" sheetId="7" r:id="rId8"/>
    <sheet name="31" sheetId="8" r:id="rId9"/>
    <sheet name="32-34" sheetId="9" r:id="rId10"/>
    <sheet name="35-39" sheetId="10" r:id="rId11"/>
    <sheet name="40" sheetId="11" r:id="rId12"/>
    <sheet name="41-44" sheetId="12" r:id="rId13"/>
  </sheets>
  <externalReferences>
    <externalReference r:id="rId14"/>
    <externalReference r:id="rId15"/>
    <externalReference r:id="rId16"/>
  </externalReferences>
  <definedNames>
    <definedName name="_xlnm.Print_Area" localSheetId="1">'1-3'!$A$1:$E$17</definedName>
    <definedName name="ficha">#REF!</definedName>
    <definedName name="_Ind137">#REF!</definedName>
    <definedName name="_Ind16">#REF!</definedName>
    <definedName name="_Ind18" localSheetId="0">[3]Cuantitativa!#REF!</definedName>
    <definedName name="_Ind18">#REF!</definedName>
    <definedName name="_Ind204">#REF!</definedName>
    <definedName name="_Ind35">#REF!</definedName>
    <definedName name="_Ind4">#REF!</definedName>
    <definedName name="_Ind40">#REF!</definedName>
    <definedName name="_Ind45">#REF!</definedName>
    <definedName name="_ind58">[2]Hoja1!$D$53</definedName>
  </definedNames>
  <calcPr calcId="125725"/>
</workbook>
</file>

<file path=xl/calcChain.xml><?xml version="1.0" encoding="utf-8"?>
<calcChain xmlns="http://schemas.openxmlformats.org/spreadsheetml/2006/main">
  <c r="D6" i="4"/>
  <c r="D37"/>
  <c r="D71"/>
  <c r="D104"/>
  <c r="B122"/>
  <c r="A90"/>
  <c r="A91" s="1"/>
  <c r="A92" s="1"/>
  <c r="A93" s="1"/>
  <c r="A95"/>
  <c r="A74"/>
  <c r="A75" s="1"/>
  <c r="B74"/>
  <c r="B73"/>
  <c r="A56"/>
  <c r="A57" s="1"/>
  <c r="A58" s="1"/>
  <c r="A59" s="1"/>
  <c r="A60" s="1"/>
  <c r="A61" s="1"/>
  <c r="A62" s="1"/>
  <c r="A63" s="1"/>
  <c r="A40"/>
  <c r="B40" s="1"/>
  <c r="B39"/>
  <c r="A9"/>
  <c r="A10"/>
  <c r="A11" s="1"/>
  <c r="B9"/>
  <c r="B10"/>
  <c r="B8"/>
  <c r="B121"/>
  <c r="B120"/>
  <c r="B119"/>
  <c r="B118"/>
  <c r="B117"/>
  <c r="B116"/>
  <c r="B115"/>
  <c r="B114"/>
  <c r="B113"/>
  <c r="B112"/>
  <c r="B111"/>
  <c r="B110"/>
  <c r="B109"/>
  <c r="B108"/>
  <c r="B107"/>
  <c r="B106"/>
  <c r="D79" i="1"/>
  <c r="D49"/>
  <c r="D6"/>
  <c r="A82"/>
  <c r="A83"/>
  <c r="B83" s="1"/>
  <c r="A84"/>
  <c r="B84" s="1"/>
  <c r="A85"/>
  <c r="B85" s="1"/>
  <c r="B82"/>
  <c r="B81"/>
  <c r="A52"/>
  <c r="A53"/>
  <c r="A54" s="1"/>
  <c r="B52"/>
  <c r="B53"/>
  <c r="B51"/>
  <c r="A9"/>
  <c r="A10" s="1"/>
  <c r="B8"/>
  <c r="D6" i="5"/>
  <c r="B17"/>
  <c r="A9"/>
  <c r="B9" s="1"/>
  <c r="B8"/>
  <c r="D182" i="6"/>
  <c r="D153"/>
  <c r="D121"/>
  <c r="D92"/>
  <c r="D63"/>
  <c r="D34"/>
  <c r="D6"/>
  <c r="B143"/>
  <c r="B27"/>
  <c r="B26"/>
  <c r="A185"/>
  <c r="A186" s="1"/>
  <c r="B201"/>
  <c r="B202"/>
  <c r="B184"/>
  <c r="A156"/>
  <c r="A157" s="1"/>
  <c r="A158" s="1"/>
  <c r="A159" s="1"/>
  <c r="A160" s="1"/>
  <c r="A161" s="1"/>
  <c r="A162" s="1"/>
  <c r="A163" s="1"/>
  <c r="B174"/>
  <c r="A170"/>
  <c r="A171"/>
  <c r="A173"/>
  <c r="B173" s="1"/>
  <c r="B172"/>
  <c r="B171"/>
  <c r="B170"/>
  <c r="B169"/>
  <c r="A124"/>
  <c r="A125"/>
  <c r="A126" s="1"/>
  <c r="A127" s="1"/>
  <c r="A128" s="1"/>
  <c r="A129" s="1"/>
  <c r="A130" s="1"/>
  <c r="A131" s="1"/>
  <c r="B145"/>
  <c r="B54"/>
  <c r="B50"/>
  <c r="B51"/>
  <c r="B52"/>
  <c r="B53"/>
  <c r="B55"/>
  <c r="B49"/>
  <c r="B42"/>
  <c r="B43"/>
  <c r="B44"/>
  <c r="B45"/>
  <c r="B46"/>
  <c r="B47"/>
  <c r="B48"/>
  <c r="B70"/>
  <c r="B71"/>
  <c r="B72"/>
  <c r="B73"/>
  <c r="B74"/>
  <c r="B75"/>
  <c r="B76"/>
  <c r="B77"/>
  <c r="B78"/>
  <c r="B79"/>
  <c r="B84"/>
  <c r="B20"/>
  <c r="B107"/>
  <c r="B108"/>
  <c r="B109"/>
  <c r="B110"/>
  <c r="B111"/>
  <c r="B112"/>
  <c r="B113"/>
  <c r="B106"/>
  <c r="B99"/>
  <c r="B100"/>
  <c r="B101"/>
  <c r="B102"/>
  <c r="B103"/>
  <c r="B104"/>
  <c r="B105"/>
  <c r="B80"/>
  <c r="B81"/>
  <c r="B82"/>
  <c r="B83"/>
  <c r="B69"/>
  <c r="B41"/>
  <c r="B22"/>
  <c r="B23"/>
  <c r="B24"/>
  <c r="B25"/>
  <c r="B21"/>
  <c r="B13"/>
  <c r="B14"/>
  <c r="B15"/>
  <c r="B16"/>
  <c r="B17"/>
  <c r="B18"/>
  <c r="B19"/>
  <c r="B12"/>
  <c r="D6" i="7"/>
  <c r="D35"/>
  <c r="D64"/>
  <c r="D93"/>
  <c r="D122"/>
  <c r="D154"/>
  <c r="D184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14"/>
  <c r="A112"/>
  <c r="B112" s="1"/>
  <c r="A113"/>
  <c r="B113" s="1"/>
  <c r="B111"/>
  <c r="B110"/>
  <c r="B109"/>
  <c r="B108"/>
  <c r="B107"/>
  <c r="B106"/>
  <c r="B105"/>
  <c r="B104"/>
  <c r="B103"/>
  <c r="B102"/>
  <c r="A83"/>
  <c r="B83" s="1"/>
  <c r="A84"/>
  <c r="B84" s="1"/>
  <c r="B82"/>
  <c r="B81"/>
  <c r="B80"/>
  <c r="B79"/>
  <c r="B78"/>
  <c r="B77"/>
  <c r="B76"/>
  <c r="B75"/>
  <c r="B74"/>
  <c r="B73"/>
  <c r="B56"/>
  <c r="B55"/>
  <c r="B54"/>
  <c r="B53"/>
  <c r="B52"/>
  <c r="B51"/>
  <c r="B50"/>
  <c r="B49"/>
  <c r="B48"/>
  <c r="B47"/>
  <c r="B46"/>
  <c r="B45"/>
  <c r="B44"/>
  <c r="B27"/>
  <c r="B26"/>
  <c r="B25"/>
  <c r="B24"/>
  <c r="B23"/>
  <c r="B22"/>
  <c r="B21"/>
  <c r="B20"/>
  <c r="B19"/>
  <c r="B18"/>
  <c r="D6" i="8"/>
  <c r="B22"/>
  <c r="B15"/>
  <c r="B16"/>
  <c r="B17"/>
  <c r="B18"/>
  <c r="B9"/>
  <c r="B10"/>
  <c r="B11"/>
  <c r="B12"/>
  <c r="B13"/>
  <c r="B8"/>
  <c r="B26"/>
  <c r="B25"/>
  <c r="B24"/>
  <c r="B23"/>
  <c r="B21"/>
  <c r="B20"/>
  <c r="B19"/>
  <c r="B14"/>
  <c r="D6" i="9"/>
  <c r="D33"/>
  <c r="D60"/>
  <c r="B50"/>
  <c r="B23"/>
  <c r="B24"/>
  <c r="B77"/>
  <c r="B78"/>
  <c r="A63"/>
  <c r="B63" s="1"/>
  <c r="B75"/>
  <c r="B76"/>
  <c r="B79"/>
  <c r="A36"/>
  <c r="A37" s="1"/>
  <c r="B48"/>
  <c r="B49"/>
  <c r="B51"/>
  <c r="B52"/>
  <c r="A9"/>
  <c r="A10" s="1"/>
  <c r="B21"/>
  <c r="B22"/>
  <c r="B25"/>
  <c r="B62"/>
  <c r="B36"/>
  <c r="B35"/>
  <c r="B9"/>
  <c r="B8"/>
  <c r="D6" i="10"/>
  <c r="D38"/>
  <c r="D72"/>
  <c r="D106"/>
  <c r="D132"/>
  <c r="A109"/>
  <c r="A110"/>
  <c r="A111" s="1"/>
  <c r="B121"/>
  <c r="B122"/>
  <c r="B123"/>
  <c r="B124"/>
  <c r="B45"/>
  <c r="B81"/>
  <c r="B98"/>
  <c r="B97"/>
  <c r="B96"/>
  <c r="B95"/>
  <c r="B94"/>
  <c r="B93"/>
  <c r="B92"/>
  <c r="B91"/>
  <c r="B90"/>
  <c r="B89"/>
  <c r="B88"/>
  <c r="B87"/>
  <c r="B86"/>
  <c r="B85"/>
  <c r="B84"/>
  <c r="B83"/>
  <c r="B82"/>
  <c r="B80"/>
  <c r="B79"/>
  <c r="B78"/>
  <c r="B77"/>
  <c r="B76"/>
  <c r="B75"/>
  <c r="B74"/>
  <c r="B48"/>
  <c r="B64"/>
  <c r="B63"/>
  <c r="B62"/>
  <c r="B61"/>
  <c r="B60"/>
  <c r="B59"/>
  <c r="B58"/>
  <c r="B57"/>
  <c r="B56"/>
  <c r="B55"/>
  <c r="B54"/>
  <c r="B53"/>
  <c r="B52"/>
  <c r="B51"/>
  <c r="B50"/>
  <c r="B49"/>
  <c r="B47"/>
  <c r="B46"/>
  <c r="B44"/>
  <c r="B43"/>
  <c r="B42"/>
  <c r="B41"/>
  <c r="B40"/>
  <c r="B11"/>
  <c r="B12"/>
  <c r="B13"/>
  <c r="B14"/>
  <c r="B15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10"/>
  <c r="B109"/>
  <c r="B108"/>
  <c r="B30"/>
  <c r="B29"/>
  <c r="B28"/>
  <c r="B27"/>
  <c r="B26"/>
  <c r="B25"/>
  <c r="B24"/>
  <c r="B23"/>
  <c r="B22"/>
  <c r="B21"/>
  <c r="B20"/>
  <c r="B19"/>
  <c r="B18"/>
  <c r="B17"/>
  <c r="B16"/>
  <c r="B10"/>
  <c r="B9"/>
  <c r="B8"/>
  <c r="D6" i="11"/>
  <c r="B13"/>
  <c r="B14"/>
  <c r="B15"/>
  <c r="A10"/>
  <c r="A11" s="1"/>
  <c r="A12" s="1"/>
  <c r="A13" s="1"/>
  <c r="A14" s="1"/>
  <c r="A15" s="1"/>
  <c r="A16" s="1"/>
  <c r="B29"/>
  <c r="B12"/>
  <c r="B11"/>
  <c r="B10"/>
  <c r="B9"/>
  <c r="B8"/>
  <c r="D6" i="12"/>
  <c r="D32"/>
  <c r="D60"/>
  <c r="D8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24"/>
  <c r="B23"/>
  <c r="B22"/>
  <c r="B21"/>
  <c r="B20"/>
  <c r="B19"/>
  <c r="B18"/>
  <c r="B17"/>
  <c r="B16"/>
  <c r="B15"/>
  <c r="B14"/>
  <c r="B13"/>
  <c r="B12"/>
  <c r="B11"/>
  <c r="B10"/>
  <c r="B9"/>
  <c r="B8"/>
  <c r="D6" i="2"/>
  <c r="D37"/>
  <c r="D71"/>
  <c r="D105"/>
  <c r="B94"/>
  <c r="B61"/>
  <c r="B60"/>
  <c r="B59"/>
  <c r="B58"/>
  <c r="B57"/>
  <c r="B56"/>
  <c r="B55"/>
  <c r="B54"/>
  <c r="B53"/>
  <c r="B52"/>
  <c r="B51"/>
  <c r="B50"/>
  <c r="A46"/>
  <c r="A47"/>
  <c r="B47" s="1"/>
  <c r="A48"/>
  <c r="B48" s="1"/>
  <c r="B46"/>
  <c r="B45"/>
  <c r="B44"/>
  <c r="B43"/>
  <c r="B42"/>
  <c r="B41"/>
  <c r="B40"/>
  <c r="B39"/>
  <c r="B29"/>
  <c r="B28"/>
  <c r="B27"/>
  <c r="B26"/>
  <c r="B25"/>
  <c r="B24"/>
  <c r="B23"/>
  <c r="B22"/>
  <c r="A9"/>
  <c r="A10" s="1"/>
  <c r="B8"/>
  <c r="A91"/>
  <c r="B91" s="1"/>
  <c r="B92"/>
  <c r="B93"/>
  <c r="A84"/>
  <c r="A85"/>
  <c r="B74"/>
  <c r="B75"/>
  <c r="B76"/>
  <c r="B77"/>
  <c r="B78"/>
  <c r="A108"/>
  <c r="A109" s="1"/>
  <c r="B108"/>
  <c r="B118"/>
  <c r="B119"/>
  <c r="B120"/>
  <c r="B121"/>
  <c r="B122"/>
  <c r="B123"/>
  <c r="B107"/>
  <c r="B85"/>
  <c r="B84"/>
  <c r="B83"/>
  <c r="B82"/>
  <c r="B81"/>
  <c r="B80"/>
  <c r="B79"/>
  <c r="B73"/>
  <c r="D6" i="3"/>
  <c r="D37"/>
  <c r="D71"/>
  <c r="D105"/>
  <c r="A89"/>
  <c r="A90"/>
  <c r="A91" s="1"/>
  <c r="B89"/>
  <c r="B88"/>
  <c r="B87"/>
  <c r="B86"/>
  <c r="B85"/>
  <c r="B84"/>
  <c r="B83"/>
  <c r="B82"/>
  <c r="B81"/>
  <c r="B80"/>
  <c r="B79"/>
  <c r="B78"/>
  <c r="B77"/>
  <c r="B76"/>
  <c r="B75"/>
  <c r="B74"/>
  <c r="B73"/>
  <c r="B51"/>
  <c r="B52"/>
  <c r="B53"/>
  <c r="B54"/>
  <c r="A55"/>
  <c r="B55" s="1"/>
  <c r="B50"/>
  <c r="B49"/>
  <c r="B48"/>
  <c r="B47"/>
  <c r="B46"/>
  <c r="B45"/>
  <c r="B44"/>
  <c r="B43"/>
  <c r="B42"/>
  <c r="B41"/>
  <c r="B40"/>
  <c r="B39"/>
  <c r="B20"/>
  <c r="A21"/>
  <c r="B21" s="1"/>
  <c r="B19"/>
  <c r="B9"/>
  <c r="B10"/>
  <c r="B11"/>
  <c r="B12"/>
  <c r="B13"/>
  <c r="B14"/>
  <c r="B15"/>
  <c r="B16"/>
  <c r="B17"/>
  <c r="B18"/>
  <c r="B8"/>
  <c r="B122"/>
  <c r="B123"/>
  <c r="B108"/>
  <c r="B109"/>
  <c r="B110"/>
  <c r="B111"/>
  <c r="B112"/>
  <c r="B113"/>
  <c r="B114"/>
  <c r="B115"/>
  <c r="B116"/>
  <c r="B117"/>
  <c r="B118"/>
  <c r="B119"/>
  <c r="B120"/>
  <c r="B121"/>
  <c r="B107"/>
  <c r="A110" i="2" l="1"/>
  <c r="B109"/>
  <c r="A11"/>
  <c r="B10"/>
  <c r="B16" i="11"/>
  <c r="A17"/>
  <c r="A11" i="9"/>
  <c r="B10"/>
  <c r="B75" i="4"/>
  <c r="A76"/>
  <c r="B186" i="6"/>
  <c r="A187"/>
  <c r="B10" i="1"/>
  <c r="A11"/>
  <c r="A38" i="9"/>
  <c r="B37"/>
  <c r="A92" i="3"/>
  <c r="B91"/>
  <c r="A164" i="6"/>
  <c r="B163"/>
  <c r="A55" i="1"/>
  <c r="B54"/>
  <c r="A112" i="10"/>
  <c r="B111"/>
  <c r="B131" i="6"/>
  <c r="A132"/>
  <c r="A12" i="4"/>
  <c r="B11"/>
  <c r="A90" i="2"/>
  <c r="A49"/>
  <c r="B49" s="1"/>
  <c r="A85" i="7"/>
  <c r="B85" s="1"/>
  <c r="A64" i="9"/>
  <c r="A10" i="5"/>
  <c r="A86" i="1"/>
  <c r="A41" i="4"/>
  <c r="A22" i="3"/>
  <c r="A56"/>
  <c r="B90"/>
  <c r="B9" i="2"/>
  <c r="B185" i="6"/>
  <c r="B9" i="1"/>
  <c r="A77" i="4" l="1"/>
  <c r="B76"/>
  <c r="A13"/>
  <c r="B12"/>
  <c r="A23" i="3"/>
  <c r="B22"/>
  <c r="A57"/>
  <c r="B56"/>
  <c r="B90" i="2"/>
  <c r="A89"/>
  <c r="A56" i="1"/>
  <c r="B55"/>
  <c r="B64" i="9"/>
  <c r="A65"/>
  <c r="B10" i="5"/>
  <c r="A11"/>
  <c r="A93" i="3"/>
  <c r="B92"/>
  <c r="B110" i="2"/>
  <c r="A111"/>
  <c r="B11"/>
  <c r="A12"/>
  <c r="B86" i="1"/>
  <c r="A87"/>
  <c r="B132" i="6"/>
  <c r="A133"/>
  <c r="B164"/>
  <c r="A165"/>
  <c r="B17" i="11"/>
  <c r="A18"/>
  <c r="B41" i="4"/>
  <c r="A42"/>
  <c r="A188" i="6"/>
  <c r="B187"/>
  <c r="A12" i="1"/>
  <c r="B11"/>
  <c r="B112" i="10"/>
  <c r="A113"/>
  <c r="A39" i="9"/>
  <c r="B38"/>
  <c r="B11"/>
  <c r="A12"/>
  <c r="B12" l="1"/>
  <c r="A13"/>
  <c r="A88" i="2"/>
  <c r="B89"/>
  <c r="B12"/>
  <c r="A13"/>
  <c r="A40" i="9"/>
  <c r="B39"/>
  <c r="A189" i="6"/>
  <c r="B188"/>
  <c r="A94" i="3"/>
  <c r="B93"/>
  <c r="A78" i="4"/>
  <c r="B77"/>
  <c r="A24" i="3"/>
  <c r="B23"/>
  <c r="B133" i="6"/>
  <c r="A134"/>
  <c r="A14" i="4"/>
  <c r="B13"/>
  <c r="A19" i="11"/>
  <c r="B18"/>
  <c r="A166" i="6"/>
  <c r="B165"/>
  <c r="B113" i="10"/>
  <c r="A114"/>
  <c r="A66" i="9"/>
  <c r="B65"/>
  <c r="B57" i="3"/>
  <c r="A58"/>
  <c r="A13" i="1"/>
  <c r="B12"/>
  <c r="B56"/>
  <c r="A57"/>
  <c r="B111" i="2"/>
  <c r="A112"/>
  <c r="A43" i="4"/>
  <c r="B42"/>
  <c r="A88" i="1"/>
  <c r="B87"/>
  <c r="B11" i="5"/>
  <c r="A12"/>
  <c r="B57" i="1" l="1"/>
  <c r="A58"/>
  <c r="A44" i="4"/>
  <c r="B43"/>
  <c r="A190" i="6"/>
  <c r="B189"/>
  <c r="A115" i="10"/>
  <c r="B114"/>
  <c r="A15" i="4"/>
  <c r="B14"/>
  <c r="B94" i="3"/>
  <c r="A95"/>
  <c r="B88" i="2"/>
  <c r="A87"/>
  <c r="A13" i="5"/>
  <c r="B12"/>
  <c r="B112" i="2"/>
  <c r="A113"/>
  <c r="A135" i="6"/>
  <c r="B134"/>
  <c r="A67" i="9"/>
  <c r="B66"/>
  <c r="A20" i="11"/>
  <c r="B19"/>
  <c r="A79" i="4"/>
  <c r="B78"/>
  <c r="A14" i="9"/>
  <c r="B13"/>
  <c r="A59" i="3"/>
  <c r="B58"/>
  <c r="B13" i="2"/>
  <c r="A14"/>
  <c r="A89" i="1"/>
  <c r="B88"/>
  <c r="A14"/>
  <c r="B13"/>
  <c r="B166" i="6"/>
  <c r="A167"/>
  <c r="A25" i="3"/>
  <c r="B24"/>
  <c r="B40" i="9"/>
  <c r="A41"/>
  <c r="B113" i="2" l="1"/>
  <c r="A114"/>
  <c r="A15" i="9"/>
  <c r="B14"/>
  <c r="A45" i="4"/>
  <c r="B44"/>
  <c r="B95" i="3"/>
  <c r="A96"/>
  <c r="A90" i="1"/>
  <c r="B89"/>
  <c r="B79" i="4"/>
  <c r="A80"/>
  <c r="A16"/>
  <c r="B15"/>
  <c r="A60" i="3"/>
  <c r="B59"/>
  <c r="A68" i="9"/>
  <c r="B67"/>
  <c r="B190" i="6"/>
  <c r="A191"/>
  <c r="B167"/>
  <c r="A168"/>
  <c r="B168" s="1"/>
  <c r="B20" i="11"/>
  <c r="A21"/>
  <c r="A14" i="5"/>
  <c r="B13"/>
  <c r="B115" i="10"/>
  <c r="A116"/>
  <c r="B41" i="9"/>
  <c r="A42"/>
  <c r="B58" i="1"/>
  <c r="A59"/>
  <c r="B14"/>
  <c r="A15"/>
  <c r="A136" i="6"/>
  <c r="B135"/>
  <c r="B87" i="2"/>
  <c r="A86"/>
  <c r="B86" s="1"/>
  <c r="A26" i="3"/>
  <c r="B25"/>
  <c r="A15" i="2"/>
  <c r="B14"/>
  <c r="A16" i="1" l="1"/>
  <c r="B15"/>
  <c r="B114" i="2"/>
  <c r="A115"/>
  <c r="A192" i="6"/>
  <c r="B191"/>
  <c r="B16" i="4"/>
  <c r="A17"/>
  <c r="A46"/>
  <c r="B45"/>
  <c r="A60" i="1"/>
  <c r="B59"/>
  <c r="B21" i="11"/>
  <c r="A22"/>
  <c r="B96" i="3"/>
  <c r="A97"/>
  <c r="B97" s="1"/>
  <c r="B15" i="2"/>
  <c r="A16"/>
  <c r="B14" i="5"/>
  <c r="A15"/>
  <c r="B68" i="9"/>
  <c r="A69"/>
  <c r="B90" i="1"/>
  <c r="A91"/>
  <c r="B136" i="6"/>
  <c r="A137"/>
  <c r="B15" i="9"/>
  <c r="A16"/>
  <c r="A117" i="10"/>
  <c r="B116"/>
  <c r="A81" i="4"/>
  <c r="B80"/>
  <c r="B42" i="9"/>
  <c r="A43"/>
  <c r="A27" i="3"/>
  <c r="B26"/>
  <c r="A61"/>
  <c r="B60"/>
  <c r="A44" i="9" l="1"/>
  <c r="B43"/>
  <c r="B137" i="6"/>
  <c r="A138"/>
  <c r="A16" i="5"/>
  <c r="B16" s="1"/>
  <c r="B15"/>
  <c r="B61" i="3"/>
  <c r="A62"/>
  <c r="A47" i="4"/>
  <c r="B46"/>
  <c r="A17" i="1"/>
  <c r="B16"/>
  <c r="B115" i="2"/>
  <c r="A116"/>
  <c r="B16"/>
  <c r="A17"/>
  <c r="A61" i="1"/>
  <c r="B60"/>
  <c r="B117" i="10"/>
  <c r="A118"/>
  <c r="A193" i="6"/>
  <c r="B192"/>
  <c r="A70" i="9"/>
  <c r="B69"/>
  <c r="A28" i="3"/>
  <c r="B27"/>
  <c r="B16" i="9"/>
  <c r="A17"/>
  <c r="A23" i="11"/>
  <c r="B22"/>
  <c r="A82" i="4"/>
  <c r="B81"/>
  <c r="A92" i="1"/>
  <c r="B91"/>
  <c r="A18" i="4"/>
  <c r="B17"/>
  <c r="A19" l="1"/>
  <c r="B18"/>
  <c r="A18" i="9"/>
  <c r="B17"/>
  <c r="A119" i="10"/>
  <c r="B118"/>
  <c r="B138" i="6"/>
  <c r="A139"/>
  <c r="A18" i="2"/>
  <c r="B17"/>
  <c r="A63" i="3"/>
  <c r="B63" s="1"/>
  <c r="B62"/>
  <c r="A93" i="1"/>
  <c r="B92"/>
  <c r="B28" i="3"/>
  <c r="A29"/>
  <c r="B29" s="1"/>
  <c r="A62" i="1"/>
  <c r="B61"/>
  <c r="B47" i="4"/>
  <c r="A48"/>
  <c r="A45" i="9"/>
  <c r="B44"/>
  <c r="A18" i="1"/>
  <c r="B17"/>
  <c r="A24" i="11"/>
  <c r="B23"/>
  <c r="A194" i="6"/>
  <c r="B193"/>
  <c r="B116" i="2"/>
  <c r="A117"/>
  <c r="B117" s="1"/>
  <c r="B82" i="4"/>
  <c r="A83"/>
  <c r="B70" i="9"/>
  <c r="A71"/>
  <c r="B71" l="1"/>
  <c r="A72"/>
  <c r="A19"/>
  <c r="B18"/>
  <c r="A120" i="10"/>
  <c r="B120" s="1"/>
  <c r="B119"/>
  <c r="B24" i="11"/>
  <c r="A25"/>
  <c r="A63" i="1"/>
  <c r="B62"/>
  <c r="A19" i="2"/>
  <c r="B18"/>
  <c r="B19" i="4"/>
  <c r="A20"/>
  <c r="A195" i="6"/>
  <c r="B194"/>
  <c r="B48" i="4"/>
  <c r="A49"/>
  <c r="A46" i="9"/>
  <c r="B45"/>
  <c r="A94" i="1"/>
  <c r="B93"/>
  <c r="B18"/>
  <c r="A19"/>
  <c r="B83" i="4"/>
  <c r="A84"/>
  <c r="B139" i="6"/>
  <c r="A140"/>
  <c r="B72" i="9" l="1"/>
  <c r="A73"/>
  <c r="A47"/>
  <c r="B47" s="1"/>
  <c r="B46"/>
  <c r="B19"/>
  <c r="A20"/>
  <c r="B20" s="1"/>
  <c r="A141" i="6"/>
  <c r="B140"/>
  <c r="B94" i="1"/>
  <c r="A95"/>
  <c r="B20" i="4"/>
  <c r="A21"/>
  <c r="A20" i="1"/>
  <c r="B19"/>
  <c r="B63"/>
  <c r="A64"/>
  <c r="A85" i="4"/>
  <c r="B84"/>
  <c r="B49"/>
  <c r="A50"/>
  <c r="B19" i="2"/>
  <c r="A20"/>
  <c r="A196" i="6"/>
  <c r="B195"/>
  <c r="B25" i="11"/>
  <c r="A26"/>
  <c r="A74" i="9" l="1"/>
  <c r="B74" s="1"/>
  <c r="B73"/>
  <c r="A22" i="4"/>
  <c r="B21"/>
  <c r="A21" i="1"/>
  <c r="B20"/>
  <c r="A86" i="4"/>
  <c r="B85"/>
  <c r="B26" i="11"/>
  <c r="A27"/>
  <c r="B20" i="2"/>
  <c r="A21"/>
  <c r="B21" s="1"/>
  <c r="A96" i="1"/>
  <c r="B95"/>
  <c r="A51" i="4"/>
  <c r="B50"/>
  <c r="A197" i="6"/>
  <c r="B196"/>
  <c r="B141"/>
  <c r="A142"/>
  <c r="A65" i="1"/>
  <c r="B64"/>
  <c r="B27" i="11" l="1"/>
  <c r="A28"/>
  <c r="B28" s="1"/>
  <c r="A23" i="4"/>
  <c r="B22"/>
  <c r="A144" i="6"/>
  <c r="B144" s="1"/>
  <c r="B142"/>
  <c r="A97" i="1"/>
  <c r="B96"/>
  <c r="A22"/>
  <c r="B21"/>
  <c r="A52" i="4"/>
  <c r="B51"/>
  <c r="A198" i="6"/>
  <c r="B197"/>
  <c r="A66" i="1"/>
  <c r="B65"/>
  <c r="A87" i="4"/>
  <c r="B86"/>
  <c r="B198" i="6" l="1"/>
  <c r="A199"/>
  <c r="B87" i="4"/>
  <c r="A88"/>
  <c r="B88" s="1"/>
  <c r="B22" i="1"/>
  <c r="A23"/>
  <c r="A53" i="4"/>
  <c r="B52"/>
  <c r="A24"/>
  <c r="A25" s="1"/>
  <c r="A26" s="1"/>
  <c r="A27" s="1"/>
  <c r="B23"/>
  <c r="A67" i="1"/>
  <c r="B66"/>
  <c r="A98"/>
  <c r="B97"/>
  <c r="B98" l="1"/>
  <c r="A99"/>
  <c r="A200" i="6"/>
  <c r="B200" s="1"/>
  <c r="B199"/>
  <c r="B67" i="1"/>
  <c r="A68"/>
  <c r="A24"/>
  <c r="B23"/>
  <c r="A54" i="4"/>
  <c r="B54" s="1"/>
  <c r="B53"/>
  <c r="A100" i="1" l="1"/>
  <c r="B99"/>
  <c r="A69"/>
  <c r="B68"/>
  <c r="A25"/>
  <c r="B24"/>
  <c r="A70" l="1"/>
  <c r="B69"/>
  <c r="A101"/>
  <c r="B100"/>
  <c r="A26"/>
  <c r="B25"/>
  <c r="A102" l="1"/>
  <c r="B101"/>
  <c r="A71"/>
  <c r="B71" s="1"/>
  <c r="B70"/>
  <c r="B26"/>
  <c r="A27"/>
  <c r="B102" l="1"/>
  <c r="A103"/>
  <c r="A28"/>
  <c r="B28" s="1"/>
  <c r="B27"/>
  <c r="A104" l="1"/>
  <c r="B103"/>
  <c r="A105" l="1"/>
  <c r="B104"/>
  <c r="A106" l="1"/>
  <c r="B105"/>
  <c r="B106" l="1"/>
  <c r="A107"/>
  <c r="A108" l="1"/>
  <c r="A109" s="1"/>
  <c r="B107"/>
</calcChain>
</file>

<file path=xl/sharedStrings.xml><?xml version="1.0" encoding="utf-8"?>
<sst xmlns="http://schemas.openxmlformats.org/spreadsheetml/2006/main" count="912" uniqueCount="208">
  <si>
    <t>calidad ambiental</t>
  </si>
  <si>
    <t>CA=(-0,0036*I^2) -(0,00482*I) + 1</t>
  </si>
  <si>
    <t>0&lt;I&lt;10,9</t>
  </si>
  <si>
    <t>CA=(0,00103*I^2) -(0,0689*I) + 1,15</t>
  </si>
  <si>
    <t>10,9&lt;I&lt;32</t>
  </si>
  <si>
    <t>CA=0</t>
  </si>
  <si>
    <t>I&gt;32</t>
  </si>
  <si>
    <t>Indicador:</t>
  </si>
  <si>
    <t>unidad del indicador:</t>
  </si>
  <si>
    <t>rango de valores del indicador:</t>
  </si>
  <si>
    <t>función de transformación:</t>
  </si>
  <si>
    <t>valor del indicador</t>
  </si>
  <si>
    <t>nº de indicador:</t>
  </si>
  <si>
    <t>representación de la función de transformación</t>
  </si>
  <si>
    <t>valor del  indicador</t>
  </si>
  <si>
    <t>fórmula del indicador</t>
  </si>
  <si>
    <t>Tipo de indicador</t>
  </si>
  <si>
    <t>2 (T=0,25)</t>
  </si>
  <si>
    <t>Ponderación del nivel diario de inmisión de CO según la superficie de zonas homogéneas</t>
  </si>
  <si>
    <t>Ponderación del nivel diario de inmisión de CO según la población afectada en cada zona</t>
  </si>
  <si>
    <t>% de personas afectadas por los niveles de CO perjudiciales</t>
  </si>
  <si>
    <t>-</t>
  </si>
  <si>
    <t>CA= -0.01* I + 1</t>
  </si>
  <si>
    <t>0&lt;I&lt;100</t>
  </si>
  <si>
    <t>CA= -2,5E-0,5*I^2 - 2,21E-03 * I + 1</t>
  </si>
  <si>
    <t>0&lt;I&lt;104,5</t>
  </si>
  <si>
    <t>CA=1,51E-05*I^2-9,81E-03+1,36</t>
  </si>
  <si>
    <t>104,5&lt;I&lt;200</t>
  </si>
  <si>
    <t>Índice de calidad del aire (ICAIRE)</t>
  </si>
  <si>
    <t>CA=-7,5E-05*I^2+1,75E-02*I</t>
  </si>
  <si>
    <t>Índice ORAQI (Oak Ridge Air Quality Index)</t>
  </si>
  <si>
    <t>CA=(-0,0000966*I^2) -(0,00517*I) + 1</t>
  </si>
  <si>
    <t>0&lt;I&lt;50</t>
  </si>
  <si>
    <t>50&lt;I&lt;100</t>
  </si>
  <si>
    <t>CA=(0,0000912*I^2) -(0,0237*I) + 1,46</t>
  </si>
  <si>
    <t>Promedio diario de inmisión de CO</t>
  </si>
  <si>
    <t>Índice de caracterización de tratamientos (ICT)</t>
  </si>
  <si>
    <t>CA=-0,0139*I+1</t>
  </si>
  <si>
    <t>0&lt;I&lt;36</t>
  </si>
  <si>
    <t>36&lt;I&lt;131</t>
  </si>
  <si>
    <t>131&lt;I&lt;140</t>
  </si>
  <si>
    <t>CA=(-0,00526*I)+0,689</t>
  </si>
  <si>
    <t>32&lt;I&lt;34</t>
  </si>
  <si>
    <t>CA=(-1E-02I) + 1</t>
  </si>
  <si>
    <t>0&lt;I&lt;400</t>
  </si>
  <si>
    <t>400&lt;I&lt;600</t>
  </si>
  <si>
    <t>600&lt;I&lt;800</t>
  </si>
  <si>
    <t>%</t>
  </si>
  <si>
    <r>
      <t>CA=(2,3E-06*I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)-(3,05E-03*I) +1</t>
    </r>
  </si>
  <si>
    <r>
      <t>CA=(-2,3E-06*I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)-(3,05E-03*I) +1</t>
    </r>
  </si>
  <si>
    <t>0&lt;I&lt;0,2</t>
  </si>
  <si>
    <t>CA=1</t>
  </si>
  <si>
    <t>0&lt;I&lt;30</t>
  </si>
  <si>
    <t>0&lt;I&lt;35</t>
  </si>
  <si>
    <t>0&lt;I&lt;40</t>
  </si>
  <si>
    <t>0,2&lt;I&lt;0,34</t>
  </si>
  <si>
    <t>CA=-(2,22E-03*I^2) +(1,33E-01*I) - 1</t>
  </si>
  <si>
    <t>30&lt;I&lt;45</t>
  </si>
  <si>
    <t>CA=-(1,63E-03*I^2) +(1,14E-01*I) - 1</t>
  </si>
  <si>
    <t>35&lt;I&lt;52,5</t>
  </si>
  <si>
    <t>CA=-(8E-04*I^2) +(4,8E-02*I) +2,8E-01</t>
  </si>
  <si>
    <t>30&lt;I&lt;55</t>
  </si>
  <si>
    <t>CA=-(1,25E-03*I^2) +(1E-01*I) - 1</t>
  </si>
  <si>
    <t>40&lt;I&lt;60</t>
  </si>
  <si>
    <t>0,34&lt;I&lt;0,4</t>
  </si>
  <si>
    <t>CA= (2,22E-03*I^2)-(2,67E-01*I)+8</t>
  </si>
  <si>
    <t>45&lt;I&lt;56</t>
  </si>
  <si>
    <t>CA= (1,63E-03*I^2)-(2,29E-01*I)+8</t>
  </si>
  <si>
    <t>52,5&lt;I&lt;65</t>
  </si>
  <si>
    <t>CA= (8E-04*I^2)-(1,28E-01*I)+ 5,12</t>
  </si>
  <si>
    <t>55&lt;I&lt;80</t>
  </si>
  <si>
    <t>CA= (1,25E-03*I^2)-(2E-01*I)+8</t>
  </si>
  <si>
    <t>60&lt;I&lt;80</t>
  </si>
  <si>
    <t>ppm</t>
  </si>
  <si>
    <t>dB</t>
  </si>
  <si>
    <t>CA=(27*I^2) -(18,11*I) + 3,15</t>
  </si>
  <si>
    <t>CA=0,1</t>
  </si>
  <si>
    <t>CA=(-11*I^2) +(0,2*I) + 1</t>
  </si>
  <si>
    <r>
      <t>% porcentaje de personas aceptadas por niveles de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perjudiciales.</t>
    </r>
  </si>
  <si>
    <r>
      <t>CA=(1,22E-06*</t>
    </r>
    <r>
      <rPr>
        <sz val="8"/>
        <rFont val="Arial"/>
        <family val="2"/>
      </rPr>
      <t>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 - (3,05E-03*I) + 0,702</t>
    </r>
  </si>
  <si>
    <r>
      <t>CA=(1,22E-06*</t>
    </r>
    <r>
      <rPr>
        <sz val="8"/>
        <rFont val="Arial"/>
        <family val="2"/>
      </rPr>
      <t>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 - (1,87E-03*I) + 1,702</t>
    </r>
  </si>
  <si>
    <r>
      <t>% porcentaje de personas aceptadas por niveles de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perjudiciales.</t>
    </r>
  </si>
  <si>
    <t>0 - 0,4</t>
  </si>
  <si>
    <t>0 - 56</t>
  </si>
  <si>
    <t>0 - 65</t>
  </si>
  <si>
    <t>0 - 80</t>
  </si>
  <si>
    <t>0 - 100</t>
  </si>
  <si>
    <t>0 - 800</t>
  </si>
  <si>
    <t>0 -100</t>
  </si>
  <si>
    <t>0 - 34</t>
  </si>
  <si>
    <t>0 - 140</t>
  </si>
  <si>
    <t>0 - 200</t>
  </si>
  <si>
    <r>
      <t>mg m</t>
    </r>
    <r>
      <rPr>
        <vertAlign val="superscript"/>
        <sz val="8"/>
        <rFont val="Arial"/>
        <family val="2"/>
      </rPr>
      <t>-3</t>
    </r>
  </si>
  <si>
    <r>
      <t>m</t>
    </r>
    <r>
      <rPr>
        <sz val="8"/>
        <rFont val="Arial"/>
      </rPr>
      <t>g m</t>
    </r>
    <r>
      <rPr>
        <vertAlign val="superscript"/>
        <sz val="8"/>
        <rFont val="Arial"/>
        <family val="2"/>
      </rPr>
      <t>-3</t>
    </r>
  </si>
  <si>
    <r>
      <t>Promedio diario de inmisión de NO</t>
    </r>
    <r>
      <rPr>
        <vertAlign val="subscript"/>
        <sz val="8"/>
        <rFont val="Arial"/>
        <family val="2"/>
      </rPr>
      <t>x</t>
    </r>
  </si>
  <si>
    <r>
      <t>Ponderación del nivel diario de inmisión de NO</t>
    </r>
    <r>
      <rPr>
        <vertAlign val="subscript"/>
        <sz val="8"/>
        <rFont val="Arial"/>
        <family val="2"/>
      </rPr>
      <t>x</t>
    </r>
    <r>
      <rPr>
        <sz val="8"/>
        <rFont val="Arial"/>
      </rPr>
      <t xml:space="preserve"> según la superficie de zonas homogéneas</t>
    </r>
  </si>
  <si>
    <r>
      <t>Ponderación del nivel diario de inmisión de NO</t>
    </r>
    <r>
      <rPr>
        <vertAlign val="subscript"/>
        <sz val="8"/>
        <rFont val="Arial"/>
        <family val="2"/>
      </rPr>
      <t>x</t>
    </r>
    <r>
      <rPr>
        <sz val="8"/>
        <rFont val="Arial"/>
      </rPr>
      <t xml:space="preserve"> según la población afectada en cada zona</t>
    </r>
  </si>
  <si>
    <t>% de personas afectadas por niveles sonoros diurnos perjudiciales</t>
  </si>
  <si>
    <t>CA= (-1E-02*I)+1</t>
  </si>
  <si>
    <t>Leq dB(A)</t>
  </si>
  <si>
    <t>60&lt;I&lt;90</t>
  </si>
  <si>
    <t>CA=(5,56E-04*I^2)-(1E-01*I) +4,5</t>
  </si>
  <si>
    <t>30&lt;I&lt;60</t>
  </si>
  <si>
    <t>CA=(-5,56E-04*I^2)+(3,33E-02*I) + 5E-01</t>
  </si>
  <si>
    <t>Media ponderada del nivel equivalente diurno, ponderado por el nº de personas afectadas</t>
  </si>
  <si>
    <t>CA= +1</t>
  </si>
  <si>
    <t>CA=(-5,56E-04*I^2)+(3,33E-02*I) +5E-01</t>
  </si>
  <si>
    <t>Media ponderada del nivel equivalente diurno, ponderado según la superficie de zonas homogéneas</t>
  </si>
  <si>
    <t>Nivel sonoro equivalente nocturno en una zona residencial</t>
  </si>
  <si>
    <t>CA=+1</t>
  </si>
  <si>
    <t>CA=(2,22E-0,3*I^2) -(2,67E-01*I) +8</t>
  </si>
  <si>
    <t>CA=(-2,22E-0,3*I^2) +(1,33E-01*I) -1</t>
  </si>
  <si>
    <t>Nivel sonoro equivalente nocturno en una zona comercial</t>
  </si>
  <si>
    <t>CA=(-2,22E-0,3*I^2) +(1,56E-01*I) -1,72</t>
  </si>
  <si>
    <t>CA=(2,22E-0,3*I^2) -(2,89E-01*I) +3,39</t>
  </si>
  <si>
    <t>35&lt;I&lt;50</t>
  </si>
  <si>
    <t>50&lt;I&lt;62</t>
  </si>
  <si>
    <t>Nivel sonoro equivalente nocturno en una zona industrial</t>
  </si>
  <si>
    <t>CA=(-1,63E-0,3*I^2) +(1,14E-01*I) -1</t>
  </si>
  <si>
    <t>CA=(1,63E-0,3*I^2) -(2,29E-01*I) +8</t>
  </si>
  <si>
    <t>Media ponderada del nivel equivalente nocturno, ponderado por la superficie de zonas homogéneas</t>
  </si>
  <si>
    <t>30&lt;I&lt;57,5</t>
  </si>
  <si>
    <t>57,5&lt;I&lt;85</t>
  </si>
  <si>
    <t>Nivel sonoro equivalente nocturno en una zona hospitalaria o escolar</t>
  </si>
  <si>
    <t>0&lt;I&lt;25</t>
  </si>
  <si>
    <t>CA=(-3,2E-03*I^2)+(1,6E-01*I) -1</t>
  </si>
  <si>
    <t>25&lt;I&lt;37,5</t>
  </si>
  <si>
    <t>CA=(3,2E-0*I^2)-(3,2E-01*I) +8</t>
  </si>
  <si>
    <t>37,5&lt;I&lt;50</t>
  </si>
  <si>
    <t>Media ponderada del nivel equivalente nocturno, ponderado según el nº de personas afectadas</t>
  </si>
  <si>
    <t>CA=(-6,61E-04*I^2) +(3,97E-02*I) +4,05E-01</t>
  </si>
  <si>
    <t>CA=(6,61E-04*I^2) -(1,12E-01*I) +4,78</t>
  </si>
  <si>
    <t>% de personas afectadas por niveles sonoros nocturno perjudiciales.</t>
  </si>
  <si>
    <t>CA= (-1E-02*i)+1</t>
  </si>
  <si>
    <t>0 - 90</t>
  </si>
  <si>
    <t>0 - 50</t>
  </si>
  <si>
    <t>0 - 62</t>
  </si>
  <si>
    <t>0 - 85</t>
  </si>
  <si>
    <t>% de vegetación afectada negativamente por lavariación del spray marino</t>
  </si>
  <si>
    <t>− 100  &lt; I &lt;  −50</t>
  </si>
  <si>
    <t>− 50 &lt; I &lt;  0</t>
  </si>
  <si>
    <t>0&lt;I&lt;1</t>
  </si>
  <si>
    <t>Promedio diario de la concentración de polvo y partículas en suspensión</t>
  </si>
  <si>
    <t>0  &lt; I &lt;  60</t>
  </si>
  <si>
    <t>60 &lt; I &lt;  600</t>
  </si>
  <si>
    <t xml:space="preserve">Ponderación del nivel  diario de la concentración de polvo y partículas en suspensión según superficie de zonas homogeneas </t>
  </si>
  <si>
    <t xml:space="preserve">Ponderación del nivel  diario de la concentración de polvo y partículas en suspensión según población afectada de la zona </t>
  </si>
  <si>
    <t>% de personas afectadas por concentraciones perjudiciales de polvo y partículas en suspensión.</t>
  </si>
  <si>
    <t>Deposición de polvo por unidad de superficie.</t>
  </si>
  <si>
    <t>0&lt;I&lt;2,5</t>
  </si>
  <si>
    <t>2,5&lt;I&lt;9</t>
  </si>
  <si>
    <t>9&lt;I&lt;10</t>
  </si>
  <si>
    <t>Indicador semicualitativo del olor del aire.</t>
  </si>
  <si>
    <t>0&lt;I&lt;2</t>
  </si>
  <si>
    <t>2&lt;I&lt;4</t>
  </si>
  <si>
    <t>4&lt;I&lt;6</t>
  </si>
  <si>
    <r>
      <t>g m</t>
    </r>
    <r>
      <rPr>
        <vertAlign val="superscript"/>
        <sz val="9"/>
        <rFont val="Arial"/>
        <family val="2"/>
      </rPr>
      <t>-2</t>
    </r>
    <r>
      <rPr>
        <sz val="8"/>
        <rFont val="Arial"/>
      </rPr>
      <t xml:space="preserve"> día</t>
    </r>
    <r>
      <rPr>
        <vertAlign val="superscript"/>
        <sz val="9"/>
        <rFont val="Arial"/>
        <family val="2"/>
      </rPr>
      <t>-1</t>
    </r>
  </si>
  <si>
    <t>promedio diario del nivel de inmisión de Pb</t>
  </si>
  <si>
    <t>0&lt;I&lt;0,667</t>
  </si>
  <si>
    <t>0,667&lt;I&lt;1,33</t>
  </si>
  <si>
    <t>1,33&lt;I&lt;2</t>
  </si>
  <si>
    <t>CA=-0,606*I+1,21</t>
  </si>
  <si>
    <t>ponderación del nivel diario de inmisión de Pb según la superficie de zonas homogéneas</t>
  </si>
  <si>
    <t>ponderación del nivel diario de inmisión de Pb según la población afectada en cada zona</t>
  </si>
  <si>
    <t>% de personas afectadas por niveles de Pb perjudiciales</t>
  </si>
  <si>
    <t>CA=-1E-02*I+1</t>
  </si>
  <si>
    <t xml:space="preserve"> -100  -  100</t>
  </si>
  <si>
    <t>Calidad perceptible del aire según su olor y visibilidad (olor agradable)</t>
  </si>
  <si>
    <t xml:space="preserve"> 0 - 1</t>
  </si>
  <si>
    <t>Calidad perceptible del aire según su olor y visibilidad (olor desagradable)</t>
  </si>
  <si>
    <t>Calidad perceptible del aire según su olor y visibilidad (sin olor)</t>
  </si>
  <si>
    <t>0 - 600</t>
  </si>
  <si>
    <t>0 - 10</t>
  </si>
  <si>
    <t>0 - 6</t>
  </si>
  <si>
    <t>0 - 2</t>
  </si>
  <si>
    <t>1 (T=0)</t>
  </si>
  <si>
    <r>
      <t>Promedio diario del nivel de inmisión de SO</t>
    </r>
    <r>
      <rPr>
        <vertAlign val="subscript"/>
        <sz val="8"/>
        <rFont val="Arial"/>
        <family val="2"/>
      </rPr>
      <t>2</t>
    </r>
  </si>
  <si>
    <r>
      <t>Ponderación del nivel diario de inmisión de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según la superficie de zonas homogéneas</t>
    </r>
  </si>
  <si>
    <r>
      <t>Ponderación del nivel diario de inmisión de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según la población afectada en cada zona</t>
    </r>
  </si>
  <si>
    <t>Concentración de hidrocarburos promedio durante 3 horas</t>
  </si>
  <si>
    <t>Nivel sonoro equivalente diurno en una zona hospitalaria o escolar</t>
  </si>
  <si>
    <t>Nivel sonoro equivalente diurno en una zona  residencial</t>
  </si>
  <si>
    <t>Nivel sonoro equivalente diurno en una zona comercial</t>
  </si>
  <si>
    <t>Nivel sonoro equivalente diurno en una zona industrial</t>
  </si>
  <si>
    <t>3 (T=0,50)</t>
  </si>
  <si>
    <t>CA= 1,8E-02*I+1,8</t>
  </si>
  <si>
    <t>CA= 2E-0,3*I+1</t>
  </si>
  <si>
    <t>CA= -1E-02*I+1</t>
  </si>
  <si>
    <t>CA=-4E-01*(I^2)+1,4*I</t>
  </si>
  <si>
    <t>CA=-2,89E-01*(I^2)+1,19*I</t>
  </si>
  <si>
    <t>CA=-2E-01*(I^2)+4E-01*I</t>
  </si>
  <si>
    <t>CA= 6,94E-5*(I^2)-1,25E-02*I+1</t>
  </si>
  <si>
    <t>CA= 1,54E-06*(I^2)-1,94E-03*I+6,1E-01</t>
  </si>
  <si>
    <t>CA=-1,18E-0,2*(I^2)+5,92E-02*I+9,2E-01</t>
  </si>
  <si>
    <t xml:space="preserve">CA=-5,56E-0,2*(I^2)+5,56E-01*I </t>
  </si>
  <si>
    <t>CA=-0,375E-0,1*I+1,75</t>
  </si>
  <si>
    <t>CA=-0,125E-0,1*I+0,75</t>
  </si>
  <si>
    <t>CA=-0,446*(I^2)+1</t>
  </si>
  <si>
    <t>CA=0,337*(I^2)-1,35*I+1,6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</si>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</sst>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188" formatCode="0.000"/>
    <numFmt numFmtId="189" formatCode="0.0"/>
    <numFmt numFmtId="190" formatCode="_-* #,##0.00\ [$€]_-;\-* #,##0.00\ [$€]_-;_-* &quot;-&quot;??\ [$€]_-;_-@_-"/>
  </numFmts>
  <fonts count="12">
    <font>
      <sz val="8"/>
      <name val="Arial"/>
      <family val="2"/>
    </font>
    <font>
      <sz val="10"/>
      <name val="Arial"/>
    </font>
    <font>
      <sz val="8"/>
      <name val="Arial"/>
    </font>
    <font>
      <b/>
      <i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 wrapText="1"/>
    </xf>
    <xf numFmtId="190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88" fontId="5" fillId="3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88" fontId="4" fillId="2" borderId="2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88" fontId="4" fillId="3" borderId="20" xfId="0" applyNumberFormat="1" applyFont="1" applyFill="1" applyBorder="1" applyAlignment="1">
      <alignment horizontal="center" vertical="center" wrapText="1"/>
    </xf>
    <xf numFmtId="188" fontId="4" fillId="5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5" borderId="30" xfId="0" applyFont="1" applyFill="1" applyBorder="1" applyAlignment="1">
      <alignment horizontal="center" vertical="center" wrapText="1"/>
    </xf>
    <xf numFmtId="188" fontId="4" fillId="5" borderId="31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88" fontId="4" fillId="0" borderId="0" xfId="0" applyNumberFormat="1" applyFont="1" applyFill="1" applyBorder="1" applyAlignment="1">
      <alignment horizontal="center" vertical="center" wrapText="1"/>
    </xf>
    <xf numFmtId="188" fontId="4" fillId="2" borderId="31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88" fontId="4" fillId="2" borderId="3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  <xf numFmtId="0" fontId="4" fillId="6" borderId="27" xfId="0" applyFont="1" applyFill="1" applyBorder="1" applyAlignment="1">
      <alignment vertical="center" wrapText="1"/>
    </xf>
    <xf numFmtId="188" fontId="4" fillId="6" borderId="0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vertical="center" wrapText="1"/>
    </xf>
    <xf numFmtId="0" fontId="4" fillId="6" borderId="27" xfId="0" applyFont="1" applyFill="1" applyBorder="1" applyAlignment="1">
      <alignment horizontal="center" vertical="center" wrapText="1"/>
    </xf>
    <xf numFmtId="188" fontId="4" fillId="3" borderId="35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188" fontId="4" fillId="3" borderId="38" xfId="0" applyNumberFormat="1" applyFont="1" applyFill="1" applyBorder="1" applyAlignment="1">
      <alignment horizontal="center" vertical="center" wrapText="1"/>
    </xf>
    <xf numFmtId="188" fontId="4" fillId="5" borderId="35" xfId="0" applyNumberFormat="1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4" fillId="6" borderId="39" xfId="0" applyFont="1" applyFill="1" applyBorder="1" applyAlignment="1">
      <alignment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5" borderId="21" xfId="0" applyNumberFormat="1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>
      <alignment horizontal="center" vertical="center" wrapText="1"/>
    </xf>
    <xf numFmtId="2" fontId="4" fillId="5" borderId="40" xfId="0" applyNumberFormat="1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188" fontId="4" fillId="2" borderId="41" xfId="0" applyNumberFormat="1" applyFont="1" applyFill="1" applyBorder="1" applyAlignment="1">
      <alignment horizontal="center" vertical="center" wrapText="1"/>
    </xf>
    <xf numFmtId="188" fontId="4" fillId="3" borderId="41" xfId="0" applyNumberFormat="1" applyFont="1" applyFill="1" applyBorder="1" applyAlignment="1">
      <alignment horizontal="center" vertical="center" wrapText="1"/>
    </xf>
    <xf numFmtId="188" fontId="4" fillId="3" borderId="42" xfId="0" applyNumberFormat="1" applyFont="1" applyFill="1" applyBorder="1" applyAlignment="1">
      <alignment horizontal="center" vertical="center" wrapText="1"/>
    </xf>
    <xf numFmtId="188" fontId="4" fillId="5" borderId="38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>
      <alignment horizontal="center" vertical="center" wrapText="1"/>
    </xf>
    <xf numFmtId="1" fontId="4" fillId="3" borderId="21" xfId="0" applyNumberFormat="1" applyFont="1" applyFill="1" applyBorder="1" applyAlignment="1">
      <alignment horizontal="center" vertical="center" wrapText="1"/>
    </xf>
    <xf numFmtId="1" fontId="4" fillId="5" borderId="22" xfId="0" applyNumberFormat="1" applyFont="1" applyFill="1" applyBorder="1" applyAlignment="1">
      <alignment horizontal="center" vertical="center" wrapText="1"/>
    </xf>
    <xf numFmtId="1" fontId="4" fillId="5" borderId="21" xfId="0" applyNumberFormat="1" applyFont="1" applyFill="1" applyBorder="1" applyAlignment="1">
      <alignment horizontal="center" vertical="center" wrapText="1"/>
    </xf>
    <xf numFmtId="1" fontId="4" fillId="5" borderId="30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89" fontId="4" fillId="2" borderId="21" xfId="0" applyNumberFormat="1" applyFont="1" applyFill="1" applyBorder="1" applyAlignment="1">
      <alignment horizontal="center" vertical="center" wrapText="1"/>
    </xf>
    <xf numFmtId="189" fontId="4" fillId="2" borderId="22" xfId="0" applyNumberFormat="1" applyFont="1" applyFill="1" applyBorder="1" applyAlignment="1">
      <alignment horizontal="center" vertical="center" wrapText="1"/>
    </xf>
    <xf numFmtId="189" fontId="4" fillId="3" borderId="22" xfId="0" applyNumberFormat="1" applyFont="1" applyFill="1" applyBorder="1" applyAlignment="1">
      <alignment horizontal="center" vertical="center" wrapText="1"/>
    </xf>
    <xf numFmtId="189" fontId="4" fillId="5" borderId="22" xfId="0" applyNumberFormat="1" applyFont="1" applyFill="1" applyBorder="1" applyAlignment="1">
      <alignment horizontal="center" vertical="center" wrapText="1"/>
    </xf>
    <xf numFmtId="189" fontId="4" fillId="5" borderId="30" xfId="0" applyNumberFormat="1" applyFont="1" applyFill="1" applyBorder="1" applyAlignment="1">
      <alignment horizontal="center" vertical="center" wrapText="1"/>
    </xf>
    <xf numFmtId="188" fontId="4" fillId="2" borderId="44" xfId="0" applyNumberFormat="1" applyFont="1" applyFill="1" applyBorder="1" applyAlignment="1">
      <alignment horizontal="center" vertical="center" wrapText="1"/>
    </xf>
    <xf numFmtId="188" fontId="4" fillId="3" borderId="44" xfId="0" applyNumberFormat="1" applyFont="1" applyFill="1" applyBorder="1" applyAlignment="1">
      <alignment horizontal="center" vertical="center" wrapText="1"/>
    </xf>
    <xf numFmtId="188" fontId="4" fillId="5" borderId="44" xfId="0" applyNumberFormat="1" applyFont="1" applyFill="1" applyBorder="1" applyAlignment="1">
      <alignment horizontal="center" vertical="center" wrapText="1"/>
    </xf>
    <xf numFmtId="188" fontId="4" fillId="5" borderId="45" xfId="0" applyNumberFormat="1" applyFont="1" applyFill="1" applyBorder="1" applyAlignment="1">
      <alignment horizontal="center" vertical="center" wrapText="1"/>
    </xf>
    <xf numFmtId="2" fontId="4" fillId="2" borderId="30" xfId="0" applyNumberFormat="1" applyFont="1" applyFill="1" applyBorder="1" applyAlignment="1">
      <alignment horizontal="center" vertical="center" wrapText="1"/>
    </xf>
    <xf numFmtId="188" fontId="4" fillId="2" borderId="38" xfId="0" applyNumberFormat="1" applyFont="1" applyFill="1" applyBorder="1" applyAlignment="1">
      <alignment horizontal="center" vertical="center" wrapText="1"/>
    </xf>
    <xf numFmtId="188" fontId="4" fillId="3" borderId="31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0" xfId="2"/>
    <xf numFmtId="0" fontId="3" fillId="4" borderId="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Normal_excel EI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95121951219512"/>
          <c:y val="6.8181969508987722E-2"/>
          <c:w val="0.83902439024390241"/>
          <c:h val="0.71363794752740484"/>
        </c:manualLayout>
      </c:layout>
      <c:scatterChart>
        <c:scatterStyle val="lineMarker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'1-3'!$A$8:$A$28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'1-3'!$B$8:$B$28</c:f>
              <c:numCache>
                <c:formatCode>0.000</c:formatCode>
                <c:ptCount val="21"/>
                <c:pt idx="0">
                  <c:v>0</c:v>
                </c:pt>
                <c:pt idx="1">
                  <c:v>8.5625000000000007E-2</c:v>
                </c:pt>
                <c:pt idx="2">
                  <c:v>0.16750000000000001</c:v>
                </c:pt>
                <c:pt idx="3">
                  <c:v>0.24562500000000001</c:v>
                </c:pt>
                <c:pt idx="4">
                  <c:v>0.32000000000000006</c:v>
                </c:pt>
                <c:pt idx="5">
                  <c:v>0.39062500000000006</c:v>
                </c:pt>
                <c:pt idx="6">
                  <c:v>0.45750000000000002</c:v>
                </c:pt>
                <c:pt idx="7">
                  <c:v>0.520625</c:v>
                </c:pt>
                <c:pt idx="8">
                  <c:v>0.58000000000000007</c:v>
                </c:pt>
                <c:pt idx="9">
                  <c:v>0.63562500000000011</c:v>
                </c:pt>
                <c:pt idx="10">
                  <c:v>0.68750000000000011</c:v>
                </c:pt>
                <c:pt idx="11">
                  <c:v>0.7356250000000002</c:v>
                </c:pt>
                <c:pt idx="12">
                  <c:v>0.78</c:v>
                </c:pt>
                <c:pt idx="13">
                  <c:v>0.82062500000000016</c:v>
                </c:pt>
                <c:pt idx="14">
                  <c:v>0.85750000000000015</c:v>
                </c:pt>
                <c:pt idx="15">
                  <c:v>0.89062500000000022</c:v>
                </c:pt>
                <c:pt idx="16">
                  <c:v>0.92000000000000015</c:v>
                </c:pt>
                <c:pt idx="17">
                  <c:v>0.94562500000000005</c:v>
                </c:pt>
                <c:pt idx="18">
                  <c:v>0.96750000000000025</c:v>
                </c:pt>
                <c:pt idx="19">
                  <c:v>0.9856250000000002</c:v>
                </c:pt>
                <c:pt idx="20">
                  <c:v>1.0000000000000004</c:v>
                </c:pt>
              </c:numCache>
            </c:numRef>
          </c:yVal>
        </c:ser>
        <c:axId val="126609280"/>
        <c:axId val="126611840"/>
      </c:scatterChart>
      <c:valAx>
        <c:axId val="12660928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ICAIRE</a:t>
                </a:r>
              </a:p>
            </c:rich>
          </c:tx>
          <c:layout>
            <c:manualLayout>
              <c:xMode val="edge"/>
              <c:yMode val="edge"/>
              <c:x val="0.48048780487804876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611840"/>
        <c:crosses val="autoZero"/>
        <c:crossBetween val="midCat"/>
      </c:valAx>
      <c:valAx>
        <c:axId val="12661184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00000443893030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60928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95121951219512"/>
          <c:y val="6.8181969508987722E-2"/>
          <c:w val="0.84146341463414631"/>
          <c:h val="0.6909106243577423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'1-3'!$A$51:$A$71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'1-3'!$B$51:$B$71</c:f>
              <c:numCache>
                <c:formatCode>0.000</c:formatCode>
                <c:ptCount val="21"/>
                <c:pt idx="0">
                  <c:v>1</c:v>
                </c:pt>
                <c:pt idx="1">
                  <c:v>0.97173500000000002</c:v>
                </c:pt>
                <c:pt idx="2">
                  <c:v>0.93864000000000003</c:v>
                </c:pt>
                <c:pt idx="3">
                  <c:v>0.90071499999999993</c:v>
                </c:pt>
                <c:pt idx="4">
                  <c:v>0.85796000000000006</c:v>
                </c:pt>
                <c:pt idx="5">
                  <c:v>0.81037499999999996</c:v>
                </c:pt>
                <c:pt idx="6">
                  <c:v>0.75795999999999997</c:v>
                </c:pt>
                <c:pt idx="7">
                  <c:v>0.70071499999999998</c:v>
                </c:pt>
                <c:pt idx="8">
                  <c:v>0.63863999999999999</c:v>
                </c:pt>
                <c:pt idx="9">
                  <c:v>0.57173499999999999</c:v>
                </c:pt>
                <c:pt idx="10">
                  <c:v>0.5</c:v>
                </c:pt>
                <c:pt idx="11">
                  <c:v>0.43237999999999999</c:v>
                </c:pt>
                <c:pt idx="12">
                  <c:v>0.36631999999999998</c:v>
                </c:pt>
                <c:pt idx="13">
                  <c:v>0.30481999999999987</c:v>
                </c:pt>
                <c:pt idx="14">
                  <c:v>0.2478800000000001</c:v>
                </c:pt>
                <c:pt idx="15">
                  <c:v>0.19550000000000001</c:v>
                </c:pt>
                <c:pt idx="16">
                  <c:v>0.14768000000000003</c:v>
                </c:pt>
                <c:pt idx="17">
                  <c:v>0.10441999999999996</c:v>
                </c:pt>
                <c:pt idx="18">
                  <c:v>6.5719999999999779E-2</c:v>
                </c:pt>
                <c:pt idx="19">
                  <c:v>3.1579999999999941E-2</c:v>
                </c:pt>
                <c:pt idx="20">
                  <c:v>1.9999999999997797E-3</c:v>
                </c:pt>
              </c:numCache>
            </c:numRef>
          </c:yVal>
        </c:ser>
        <c:axId val="126618624"/>
        <c:axId val="126641664"/>
      </c:scatterChart>
      <c:valAx>
        <c:axId val="12661862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ORAQI</a:t>
                </a:r>
              </a:p>
            </c:rich>
          </c:tx>
          <c:layout>
            <c:manualLayout>
              <c:xMode val="edge"/>
              <c:yMode val="edge"/>
              <c:x val="0.49512195121951219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641664"/>
        <c:crosses val="autoZero"/>
        <c:crossBetween val="midCat"/>
      </c:valAx>
      <c:valAx>
        <c:axId val="1266416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00000443893030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61862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408788608169405"/>
          <c:y val="6.8181969508987722E-2"/>
          <c:w val="0.83941805290557736"/>
          <c:h val="0.704547018259539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'1-3'!$A$81:$A$109</c:f>
              <c:numCache>
                <c:formatCode>General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</c:numCache>
            </c:numRef>
          </c:xVal>
          <c:yVal>
            <c:numRef>
              <c:f>'1-3'!$B$81:$B$109</c:f>
              <c:numCache>
                <c:formatCode>0.000</c:formatCode>
                <c:ptCount val="29"/>
                <c:pt idx="0">
                  <c:v>1</c:v>
                </c:pt>
                <c:pt idx="1">
                  <c:v>0.93049999999999999</c:v>
                </c:pt>
                <c:pt idx="2">
                  <c:v>0.86099999999999999</c:v>
                </c:pt>
                <c:pt idx="3">
                  <c:v>0.79149999999999998</c:v>
                </c:pt>
                <c:pt idx="4">
                  <c:v>0.72199999999999998</c:v>
                </c:pt>
                <c:pt idx="5">
                  <c:v>0.65250000000000008</c:v>
                </c:pt>
                <c:pt idx="6">
                  <c:v>0.58299999999999996</c:v>
                </c:pt>
                <c:pt idx="7">
                  <c:v>0.51350000000000007</c:v>
                </c:pt>
                <c:pt idx="8">
                  <c:v>0.47859999999999991</c:v>
                </c:pt>
                <c:pt idx="9">
                  <c:v>0.45229999999999992</c:v>
                </c:pt>
                <c:pt idx="10">
                  <c:v>0.42599999999999993</c:v>
                </c:pt>
                <c:pt idx="11">
                  <c:v>0.39969999999999994</c:v>
                </c:pt>
                <c:pt idx="12">
                  <c:v>0.37339999999999995</c:v>
                </c:pt>
                <c:pt idx="13">
                  <c:v>0.34709999999999996</c:v>
                </c:pt>
                <c:pt idx="14">
                  <c:v>0.32079999999999997</c:v>
                </c:pt>
                <c:pt idx="15">
                  <c:v>0.29449999999999993</c:v>
                </c:pt>
                <c:pt idx="16">
                  <c:v>0.26819999999999994</c:v>
                </c:pt>
                <c:pt idx="17">
                  <c:v>0.24189999999999995</c:v>
                </c:pt>
                <c:pt idx="18">
                  <c:v>0.21559999999999996</c:v>
                </c:pt>
                <c:pt idx="19">
                  <c:v>0.18929999999999997</c:v>
                </c:pt>
                <c:pt idx="20">
                  <c:v>0.16299999999999992</c:v>
                </c:pt>
                <c:pt idx="21">
                  <c:v>0.13669999999999993</c:v>
                </c:pt>
                <c:pt idx="22">
                  <c:v>0.11039999999999994</c:v>
                </c:pt>
                <c:pt idx="23">
                  <c:v>8.4099999999999953E-2</c:v>
                </c:pt>
                <c:pt idx="24">
                  <c:v>5.7799999999999963E-2</c:v>
                </c:pt>
                <c:pt idx="25">
                  <c:v>3.1499999999999972E-2</c:v>
                </c:pt>
                <c:pt idx="26">
                  <c:v>5.1999999999999824E-3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axId val="126693760"/>
        <c:axId val="126696064"/>
      </c:scatterChart>
      <c:valAx>
        <c:axId val="12669376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ICT</a:t>
                </a:r>
              </a:p>
            </c:rich>
          </c:tx>
          <c:layout>
            <c:manualLayout>
              <c:xMode val="edge"/>
              <c:yMode val="edge"/>
              <c:x val="0.51338321496544004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696064"/>
        <c:crosses val="autoZero"/>
        <c:crossBetween val="midCat"/>
      </c:valAx>
      <c:valAx>
        <c:axId val="1266960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90909514625165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69376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scatterChart>
        <c:scatterStyle val="lineMarker"/>
        <c:ser>
          <c:idx val="0"/>
          <c:order val="0"/>
          <c:tx>
            <c:v>Ind4 vs CA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'1-3'!#REF!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26723200"/>
        <c:axId val="126725504"/>
      </c:scatterChart>
      <c:valAx>
        <c:axId val="126723200"/>
        <c:scaling>
          <c:orientation val="minMax"/>
          <c:max val="34"/>
          <c:min val="0"/>
        </c:scaling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 (mg/m</a:t>
                </a:r>
                <a:r>
                  <a:rPr lang="es-ES" sz="2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725504"/>
        <c:crosses val="autoZero"/>
        <c:crossBetween val="midCat"/>
      </c:valAx>
      <c:valAx>
        <c:axId val="1267255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72320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scatterChart>
        <c:scatterStyle val="lineMarker"/>
        <c:ser>
          <c:idx val="0"/>
          <c:order val="0"/>
          <c:tx>
            <c:v>Ind5 vs CA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'1-3'!#REF!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26744832"/>
        <c:axId val="126751488"/>
      </c:scatterChart>
      <c:valAx>
        <c:axId val="126744832"/>
        <c:scaling>
          <c:orientation val="minMax"/>
          <c:max val="34"/>
          <c:min val="0"/>
        </c:scaling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 (mg m</a:t>
                </a:r>
                <a:r>
                  <a:rPr lang="es-ES" sz="2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751488"/>
        <c:crosses val="autoZero"/>
        <c:crossBetween val="midCat"/>
      </c:valAx>
      <c:valAx>
        <c:axId val="12675148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74483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65479027617063"/>
          <c:y val="6.7873303167420809E-2"/>
          <c:w val="0.84915043612767105"/>
          <c:h val="0.7104072398190045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'4-7'!$A$73:$A$97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14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xVal>
          <c:yVal>
            <c:numRef>
              <c:f>'4-7'!$B$73:$B$97</c:f>
              <c:numCache>
                <c:formatCode>0.000</c:formatCode>
                <c:ptCount val="25"/>
                <c:pt idx="0">
                  <c:v>1</c:v>
                </c:pt>
                <c:pt idx="1">
                  <c:v>0.97596000000000005</c:v>
                </c:pt>
                <c:pt idx="2">
                  <c:v>0.92311999999999994</c:v>
                </c:pt>
                <c:pt idx="3">
                  <c:v>0.84148000000000001</c:v>
                </c:pt>
                <c:pt idx="4">
                  <c:v>0.73104000000000002</c:v>
                </c:pt>
                <c:pt idx="5">
                  <c:v>0.59179999999999999</c:v>
                </c:pt>
                <c:pt idx="6">
                  <c:v>0.51672999999999991</c:v>
                </c:pt>
                <c:pt idx="7">
                  <c:v>0.47151999999999994</c:v>
                </c:pt>
                <c:pt idx="8">
                  <c:v>0.38727999999999996</c:v>
                </c:pt>
                <c:pt idx="9">
                  <c:v>0.24351999999999996</c:v>
                </c:pt>
                <c:pt idx="10">
                  <c:v>0.18399999999999983</c:v>
                </c:pt>
                <c:pt idx="11">
                  <c:v>0.13271999999999995</c:v>
                </c:pt>
                <c:pt idx="12">
                  <c:v>0.1101700000000001</c:v>
                </c:pt>
                <c:pt idx="13">
                  <c:v>8.9679999999999982E-2</c:v>
                </c:pt>
                <c:pt idx="14">
                  <c:v>7.1249999999999813E-2</c:v>
                </c:pt>
                <c:pt idx="15">
                  <c:v>5.4879999999999818E-2</c:v>
                </c:pt>
                <c:pt idx="16">
                  <c:v>4.0569999999999773E-2</c:v>
                </c:pt>
                <c:pt idx="17">
                  <c:v>2.8319999999999901E-2</c:v>
                </c:pt>
                <c:pt idx="18">
                  <c:v>1.8129999999999979E-2</c:v>
                </c:pt>
                <c:pt idx="19">
                  <c:v>9.9999999999997868E-3</c:v>
                </c:pt>
                <c:pt idx="20">
                  <c:v>3.9299999999999891E-3</c:v>
                </c:pt>
                <c:pt idx="21">
                  <c:v>-8.0000000000080007E-5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</c:ser>
        <c:axId val="127852544"/>
        <c:axId val="127854464"/>
      </c:scatterChart>
      <c:valAx>
        <c:axId val="127852544"/>
        <c:scaling>
          <c:orientation val="minMax"/>
          <c:max val="34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 (mg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71543946604952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854464"/>
        <c:crosses val="autoZero"/>
        <c:crossBetween val="midCat"/>
      </c:valAx>
      <c:valAx>
        <c:axId val="1278544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52941176470588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85254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2408788608169405"/>
          <c:y val="6.7873303167420809E-2"/>
          <c:w val="0.83941805290557736"/>
          <c:h val="0.69683257918552033"/>
        </c:manualLayout>
      </c:layout>
      <c:scatterChart>
        <c:scatterStyle val="lineMarker"/>
        <c:ser>
          <c:idx val="0"/>
          <c:order val="0"/>
          <c:tx>
            <c:v> 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'4-7'!$A$107:$A$123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70</c:v>
                </c:pt>
                <c:pt idx="14">
                  <c:v>80</c:v>
                </c:pt>
                <c:pt idx="15">
                  <c:v>90</c:v>
                </c:pt>
                <c:pt idx="16">
                  <c:v>100</c:v>
                </c:pt>
              </c:numCache>
            </c:numRef>
          </c:xVal>
          <c:yVal>
            <c:numRef>
              <c:f>'4-7'!$B$107:$B$123</c:f>
              <c:numCache>
                <c:formatCode>0.000</c:formatCode>
                <c:ptCount val="17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0.64999999999999991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0.44999999999999996</c:v>
                </c:pt>
                <c:pt idx="12">
                  <c:v>0.4</c:v>
                </c:pt>
                <c:pt idx="13">
                  <c:v>0.29999999999999993</c:v>
                </c:pt>
                <c:pt idx="14">
                  <c:v>0.19999999999999996</c:v>
                </c:pt>
                <c:pt idx="15">
                  <c:v>9.9999999999999978E-2</c:v>
                </c:pt>
                <c:pt idx="16">
                  <c:v>0</c:v>
                </c:pt>
              </c:numCache>
            </c:numRef>
          </c:yVal>
        </c:ser>
        <c:axId val="125392000"/>
        <c:axId val="125393920"/>
      </c:scatterChart>
      <c:valAx>
        <c:axId val="12539200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041488560410399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93920"/>
        <c:crosses val="autoZero"/>
        <c:crossBetween val="midCat"/>
      </c:valAx>
      <c:valAx>
        <c:axId val="1253939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48868778280542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9200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8859866512381"/>
          <c:y val="6.7873303167420809E-2"/>
          <c:w val="0.85158353193319436"/>
          <c:h val="0.6832579185520362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'4-7'!$A$8:$A$29</c:f>
              <c:numCache>
                <c:formatCode>General</c:formatCode>
                <c:ptCount val="2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</c:numCache>
            </c:numRef>
          </c:xVal>
          <c:yVal>
            <c:numRef>
              <c:f>'4-7'!$B$8:$B$29</c:f>
              <c:numCache>
                <c:formatCode>0.000</c:formatCode>
                <c:ptCount val="22"/>
                <c:pt idx="0">
                  <c:v>1</c:v>
                </c:pt>
                <c:pt idx="1">
                  <c:v>0.97596000000000005</c:v>
                </c:pt>
                <c:pt idx="2">
                  <c:v>0.92311999999999994</c:v>
                </c:pt>
                <c:pt idx="3">
                  <c:v>0.84148000000000001</c:v>
                </c:pt>
                <c:pt idx="4">
                  <c:v>0.73104000000000002</c:v>
                </c:pt>
                <c:pt idx="5">
                  <c:v>0.59179999999999999</c:v>
                </c:pt>
                <c:pt idx="6">
                  <c:v>0.47151999999999994</c:v>
                </c:pt>
                <c:pt idx="7">
                  <c:v>0.38727999999999996</c:v>
                </c:pt>
                <c:pt idx="8">
                  <c:v>0.31127999999999989</c:v>
                </c:pt>
                <c:pt idx="9">
                  <c:v>0.24351999999999996</c:v>
                </c:pt>
                <c:pt idx="10">
                  <c:v>0.18399999999999983</c:v>
                </c:pt>
                <c:pt idx="11">
                  <c:v>0.13271999999999995</c:v>
                </c:pt>
                <c:pt idx="12">
                  <c:v>8.9679999999999982E-2</c:v>
                </c:pt>
                <c:pt idx="13">
                  <c:v>5.4879999999999818E-2</c:v>
                </c:pt>
                <c:pt idx="14">
                  <c:v>4.0569999999999773E-2</c:v>
                </c:pt>
                <c:pt idx="15">
                  <c:v>2.8319999999999901E-2</c:v>
                </c:pt>
                <c:pt idx="16">
                  <c:v>1.8129999999999979E-2</c:v>
                </c:pt>
                <c:pt idx="17">
                  <c:v>9.9999999999997868E-3</c:v>
                </c:pt>
                <c:pt idx="18">
                  <c:v>3.9299999999999891E-3</c:v>
                </c:pt>
                <c:pt idx="19">
                  <c:v>-8.0000000000080007E-5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</c:ser>
        <c:axId val="125426688"/>
        <c:axId val="127878272"/>
      </c:scatterChart>
      <c:valAx>
        <c:axId val="125426688"/>
        <c:scaling>
          <c:orientation val="minMax"/>
          <c:max val="34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 (mg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574220114384015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878272"/>
        <c:crosses val="autoZero"/>
        <c:crossBetween val="midCat"/>
      </c:valAx>
      <c:valAx>
        <c:axId val="12787827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21719457013574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42668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65479027617063"/>
          <c:y val="6.7873303167420809E-2"/>
          <c:w val="0.84915043612767105"/>
          <c:h val="0.7013574660633483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'4-7'!$A$39:$A$63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xVal>
          <c:yVal>
            <c:numRef>
              <c:f>'4-7'!$B$39:$B$63</c:f>
              <c:numCache>
                <c:formatCode>0.000</c:formatCode>
                <c:ptCount val="25"/>
                <c:pt idx="0">
                  <c:v>1</c:v>
                </c:pt>
                <c:pt idx="1">
                  <c:v>0.97596000000000005</c:v>
                </c:pt>
                <c:pt idx="2">
                  <c:v>0.92311999999999994</c:v>
                </c:pt>
                <c:pt idx="3">
                  <c:v>0.84148000000000001</c:v>
                </c:pt>
                <c:pt idx="4">
                  <c:v>0.73104000000000002</c:v>
                </c:pt>
                <c:pt idx="5">
                  <c:v>0.59179999999999999</c:v>
                </c:pt>
                <c:pt idx="6">
                  <c:v>0.47151999999999994</c:v>
                </c:pt>
                <c:pt idx="7">
                  <c:v>0.38727999999999996</c:v>
                </c:pt>
                <c:pt idx="8">
                  <c:v>0.31127999999999989</c:v>
                </c:pt>
                <c:pt idx="9">
                  <c:v>0.24351999999999996</c:v>
                </c:pt>
                <c:pt idx="10">
                  <c:v>0.18399999999999983</c:v>
                </c:pt>
                <c:pt idx="11">
                  <c:v>0.15732999999999986</c:v>
                </c:pt>
                <c:pt idx="12">
                  <c:v>0.13271999999999995</c:v>
                </c:pt>
                <c:pt idx="13">
                  <c:v>0.1101700000000001</c:v>
                </c:pt>
                <c:pt idx="14">
                  <c:v>8.9679999999999982E-2</c:v>
                </c:pt>
                <c:pt idx="15">
                  <c:v>7.1249999999999813E-2</c:v>
                </c:pt>
                <c:pt idx="16">
                  <c:v>5.4879999999999818E-2</c:v>
                </c:pt>
                <c:pt idx="17">
                  <c:v>4.0569999999999773E-2</c:v>
                </c:pt>
                <c:pt idx="18">
                  <c:v>2.8319999999999901E-2</c:v>
                </c:pt>
                <c:pt idx="19">
                  <c:v>1.8129999999999979E-2</c:v>
                </c:pt>
                <c:pt idx="20">
                  <c:v>9.9999999999997868E-3</c:v>
                </c:pt>
                <c:pt idx="21">
                  <c:v>3.9299999999999891E-3</c:v>
                </c:pt>
                <c:pt idx="22">
                  <c:v>-8.0000000000080007E-5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</c:ser>
        <c:axId val="127910272"/>
        <c:axId val="127912192"/>
      </c:scatterChart>
      <c:valAx>
        <c:axId val="127910272"/>
        <c:scaling>
          <c:orientation val="minMax"/>
          <c:max val="34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 (mg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2288203049448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912192"/>
        <c:crosses val="autoZero"/>
        <c:crossBetween val="midCat"/>
      </c:valAx>
      <c:valAx>
        <c:axId val="1279121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90045248868778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91027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65479027617063"/>
          <c:y val="6.7873303167420809E-2"/>
          <c:w val="0.84185114871110078"/>
          <c:h val="0.7058823529411765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'8-11'!$A$73:$A$97</c:f>
              <c:numCache>
                <c:formatCode>General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135</c:v>
                </c:pt>
                <c:pt idx="17">
                  <c:v>145</c:v>
                </c:pt>
                <c:pt idx="18">
                  <c:v>155</c:v>
                </c:pt>
                <c:pt idx="19">
                  <c:v>165</c:v>
                </c:pt>
                <c:pt idx="20">
                  <c:v>175</c:v>
                </c:pt>
                <c:pt idx="21">
                  <c:v>185</c:v>
                </c:pt>
                <c:pt idx="22">
                  <c:v>190</c:v>
                </c:pt>
                <c:pt idx="23">
                  <c:v>195</c:v>
                </c:pt>
                <c:pt idx="24">
                  <c:v>200</c:v>
                </c:pt>
              </c:numCache>
            </c:numRef>
          </c:xVal>
          <c:yVal>
            <c:numRef>
              <c:f>'8-11'!$B$73:$B$97</c:f>
              <c:numCache>
                <c:formatCode>0.000</c:formatCode>
                <c:ptCount val="25"/>
                <c:pt idx="0">
                  <c:v>1</c:v>
                </c:pt>
                <c:pt idx="1">
                  <c:v>0.97540000000000004</c:v>
                </c:pt>
                <c:pt idx="2">
                  <c:v>0.94579999999999997</c:v>
                </c:pt>
                <c:pt idx="3">
                  <c:v>0.91120000000000001</c:v>
                </c:pt>
                <c:pt idx="4">
                  <c:v>0.87159999999999993</c:v>
                </c:pt>
                <c:pt idx="5">
                  <c:v>0.82699999999999996</c:v>
                </c:pt>
                <c:pt idx="6">
                  <c:v>0.77739999999999998</c:v>
                </c:pt>
                <c:pt idx="7">
                  <c:v>0.7228</c:v>
                </c:pt>
                <c:pt idx="8">
                  <c:v>0.66320000000000001</c:v>
                </c:pt>
                <c:pt idx="9">
                  <c:v>0.59860000000000002</c:v>
                </c:pt>
                <c:pt idx="10">
                  <c:v>0.52899999999999991</c:v>
                </c:pt>
                <c:pt idx="11">
                  <c:v>0.49642750000000024</c:v>
                </c:pt>
                <c:pt idx="12">
                  <c:v>0.46361000000000008</c:v>
                </c:pt>
                <c:pt idx="13">
                  <c:v>0.43154750000000008</c:v>
                </c:pt>
                <c:pt idx="14">
                  <c:v>0.40024000000000004</c:v>
                </c:pt>
                <c:pt idx="15">
                  <c:v>0.36968750000000028</c:v>
                </c:pt>
                <c:pt idx="16">
                  <c:v>0.31084750000000017</c:v>
                </c:pt>
                <c:pt idx="17">
                  <c:v>0.25502749999999996</c:v>
                </c:pt>
                <c:pt idx="18">
                  <c:v>0.20222750000000023</c:v>
                </c:pt>
                <c:pt idx="19">
                  <c:v>0.15244750000000029</c:v>
                </c:pt>
                <c:pt idx="20">
                  <c:v>0.10568750000000038</c:v>
                </c:pt>
                <c:pt idx="21">
                  <c:v>6.1947500000000266E-2</c:v>
                </c:pt>
                <c:pt idx="22">
                  <c:v>4.1210000000000191E-2</c:v>
                </c:pt>
                <c:pt idx="23">
                  <c:v>2.1227500000000177E-2</c:v>
                </c:pt>
                <c:pt idx="24">
                  <c:v>2.0000000000004459E-3</c:v>
                </c:pt>
              </c:numCache>
            </c:numRef>
          </c:yVal>
        </c:ser>
        <c:axId val="125290752"/>
        <c:axId val="127955328"/>
      </c:scatterChart>
      <c:valAx>
        <c:axId val="125290752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</a:t>
                </a:r>
                <a:r>
                  <a:rPr lang="es-ES" sz="8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472129885497182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955328"/>
        <c:crosses val="autoZero"/>
        <c:crossBetween val="midCat"/>
      </c:valAx>
      <c:valAx>
        <c:axId val="1279553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52941176470588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29075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408788608169405"/>
          <c:y val="6.7873303167420809E-2"/>
          <c:w val="0.83941805290557736"/>
          <c:h val="0.69683257918552033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'8-11'!$A$107:$A$123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70</c:v>
                </c:pt>
                <c:pt idx="14">
                  <c:v>80</c:v>
                </c:pt>
                <c:pt idx="15">
                  <c:v>90</c:v>
                </c:pt>
                <c:pt idx="16">
                  <c:v>100</c:v>
                </c:pt>
              </c:numCache>
            </c:numRef>
          </c:xVal>
          <c:yVal>
            <c:numRef>
              <c:f>'8-11'!$B$107:$B$123</c:f>
              <c:numCache>
                <c:formatCode>0.000</c:formatCode>
                <c:ptCount val="17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0.92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  <c:pt idx="8">
                  <c:v>0.75</c:v>
                </c:pt>
                <c:pt idx="9">
                  <c:v>0.7</c:v>
                </c:pt>
                <c:pt idx="10">
                  <c:v>0.6</c:v>
                </c:pt>
                <c:pt idx="11">
                  <c:v>0.5</c:v>
                </c:pt>
                <c:pt idx="12">
                  <c:v>0.4</c:v>
                </c:pt>
                <c:pt idx="13">
                  <c:v>0.29999999999999993</c:v>
                </c:pt>
                <c:pt idx="14">
                  <c:v>0.19999999999999996</c:v>
                </c:pt>
                <c:pt idx="15">
                  <c:v>9.9999999999999978E-2</c:v>
                </c:pt>
                <c:pt idx="16">
                  <c:v>0</c:v>
                </c:pt>
              </c:numCache>
            </c:numRef>
          </c:yVal>
        </c:ser>
        <c:axId val="127978880"/>
        <c:axId val="127985152"/>
      </c:scatterChart>
      <c:valAx>
        <c:axId val="12797888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041488560410399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985152"/>
        <c:crosses val="autoZero"/>
        <c:crossBetween val="midCat"/>
      </c:valAx>
      <c:valAx>
        <c:axId val="12798515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48868778280542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97888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scatterChart>
        <c:scatterStyle val="lineMarker"/>
        <c:ser>
          <c:idx val="0"/>
          <c:order val="0"/>
          <c:tx>
            <c:v>Ind8 vs CA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'8-11'!#REF!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'8-11'!#REF!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24551936"/>
        <c:axId val="124553856"/>
      </c:scatterChart>
      <c:valAx>
        <c:axId val="124551936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</a:t>
                </a:r>
                <a:r>
                  <a:rPr lang="es-ES" sz="25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 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2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53856"/>
        <c:crosses val="autoZero"/>
        <c:crossBetween val="midCat"/>
      </c:valAx>
      <c:valAx>
        <c:axId val="12455385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5193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scatterChart>
        <c:scatterStyle val="lineMarker"/>
        <c:ser>
          <c:idx val="0"/>
          <c:order val="0"/>
          <c:tx>
            <c:v>Ind9 vs CA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'8-11'!#REF!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'8-11'!#REF!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28001920"/>
        <c:axId val="128004096"/>
      </c:scatterChart>
      <c:valAx>
        <c:axId val="128001920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</a:t>
                </a:r>
                <a:r>
                  <a:rPr lang="es-ES" sz="25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2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004096"/>
        <c:crosses val="autoZero"/>
        <c:crossBetween val="midCat"/>
      </c:valAx>
      <c:valAx>
        <c:axId val="12800409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00192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scatterChart>
        <c:scatterStyle val="lineMarker"/>
        <c:ser>
          <c:idx val="0"/>
          <c:order val="0"/>
          <c:tx>
            <c:v>Ind10 vs CA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'8-11'!#REF!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'8-11'!#REF!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28023552"/>
        <c:axId val="128038016"/>
      </c:scatterChart>
      <c:valAx>
        <c:axId val="128023552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</a:t>
                </a:r>
                <a:r>
                  <a:rPr lang="es-ES" sz="25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2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2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038016"/>
        <c:crosses val="autoZero"/>
        <c:crossBetween val="midCat"/>
      </c:valAx>
      <c:valAx>
        <c:axId val="1280380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02355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8859866512381"/>
          <c:y val="6.7873303167420809E-2"/>
          <c:w val="0.8442842445166242"/>
          <c:h val="0.6832579185520362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'8-11'!$A$8:$A$29</c:f>
              <c:numCache>
                <c:formatCode>General</c:formatCode>
                <c:ptCount val="2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120</c:v>
                </c:pt>
                <c:pt idx="14">
                  <c:v>130</c:v>
                </c:pt>
                <c:pt idx="15">
                  <c:v>140</c:v>
                </c:pt>
                <c:pt idx="16">
                  <c:v>150</c:v>
                </c:pt>
                <c:pt idx="17">
                  <c:v>160</c:v>
                </c:pt>
                <c:pt idx="18">
                  <c:v>170</c:v>
                </c:pt>
                <c:pt idx="19">
                  <c:v>180</c:v>
                </c:pt>
                <c:pt idx="20">
                  <c:v>190</c:v>
                </c:pt>
                <c:pt idx="21">
                  <c:v>200</c:v>
                </c:pt>
              </c:numCache>
            </c:numRef>
          </c:xVal>
          <c:yVal>
            <c:numRef>
              <c:f>'8-11'!$B$8:$B$29</c:f>
              <c:numCache>
                <c:formatCode>0.000</c:formatCode>
                <c:ptCount val="22"/>
                <c:pt idx="0">
                  <c:v>1</c:v>
                </c:pt>
                <c:pt idx="1">
                  <c:v>0.97540000000000004</c:v>
                </c:pt>
                <c:pt idx="2">
                  <c:v>0.94579999999999997</c:v>
                </c:pt>
                <c:pt idx="3">
                  <c:v>0.91120000000000001</c:v>
                </c:pt>
                <c:pt idx="4">
                  <c:v>0.87159999999999993</c:v>
                </c:pt>
                <c:pt idx="5">
                  <c:v>0.82699999999999996</c:v>
                </c:pt>
                <c:pt idx="6">
                  <c:v>0.77739999999999998</c:v>
                </c:pt>
                <c:pt idx="7">
                  <c:v>0.7228</c:v>
                </c:pt>
                <c:pt idx="8">
                  <c:v>0.66320000000000001</c:v>
                </c:pt>
                <c:pt idx="9">
                  <c:v>0.59860000000000002</c:v>
                </c:pt>
                <c:pt idx="10">
                  <c:v>0.52899999999999991</c:v>
                </c:pt>
                <c:pt idx="11">
                  <c:v>0.49642750000000024</c:v>
                </c:pt>
                <c:pt idx="12">
                  <c:v>0.46361000000000008</c:v>
                </c:pt>
                <c:pt idx="13">
                  <c:v>0.40024000000000004</c:v>
                </c:pt>
                <c:pt idx="14">
                  <c:v>0.33989000000000025</c:v>
                </c:pt>
                <c:pt idx="15">
                  <c:v>0.28256000000000014</c:v>
                </c:pt>
                <c:pt idx="16">
                  <c:v>0.22825000000000029</c:v>
                </c:pt>
                <c:pt idx="17">
                  <c:v>0.17696000000000023</c:v>
                </c:pt>
                <c:pt idx="18">
                  <c:v>0.12869000000000019</c:v>
                </c:pt>
                <c:pt idx="19">
                  <c:v>8.3440000000000181E-2</c:v>
                </c:pt>
                <c:pt idx="20">
                  <c:v>4.1210000000000191E-2</c:v>
                </c:pt>
                <c:pt idx="21">
                  <c:v>2.0000000000004459E-3</c:v>
                </c:pt>
              </c:numCache>
            </c:numRef>
          </c:yVal>
        </c:ser>
        <c:axId val="128078592"/>
        <c:axId val="128080512"/>
      </c:scatterChart>
      <c:valAx>
        <c:axId val="128078592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</a:t>
                </a:r>
                <a:r>
                  <a:rPr lang="es-ES" sz="8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5255581982735477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080512"/>
        <c:crosses val="autoZero"/>
        <c:crossBetween val="midCat"/>
      </c:valAx>
      <c:valAx>
        <c:axId val="12808051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21719457013574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07859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65479027617063"/>
          <c:y val="6.7873303167420809E-2"/>
          <c:w val="0.84185114871110078"/>
          <c:h val="0.7013574660633483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'8-11'!$A$39:$A$63</c:f>
              <c:numCache>
                <c:formatCode>General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135</c:v>
                </c:pt>
                <c:pt idx="17">
                  <c:v>145</c:v>
                </c:pt>
                <c:pt idx="18">
                  <c:v>155</c:v>
                </c:pt>
                <c:pt idx="19">
                  <c:v>165</c:v>
                </c:pt>
                <c:pt idx="20">
                  <c:v>175</c:v>
                </c:pt>
                <c:pt idx="21">
                  <c:v>185</c:v>
                </c:pt>
                <c:pt idx="22">
                  <c:v>190</c:v>
                </c:pt>
                <c:pt idx="23">
                  <c:v>195</c:v>
                </c:pt>
                <c:pt idx="24">
                  <c:v>200</c:v>
                </c:pt>
              </c:numCache>
            </c:numRef>
          </c:xVal>
          <c:yVal>
            <c:numRef>
              <c:f>'8-11'!$B$39:$B$63</c:f>
              <c:numCache>
                <c:formatCode>0.000</c:formatCode>
                <c:ptCount val="25"/>
                <c:pt idx="0">
                  <c:v>1</c:v>
                </c:pt>
                <c:pt idx="1">
                  <c:v>0.97540000000000004</c:v>
                </c:pt>
                <c:pt idx="2">
                  <c:v>0.94579999999999997</c:v>
                </c:pt>
                <c:pt idx="3">
                  <c:v>0.91120000000000001</c:v>
                </c:pt>
                <c:pt idx="4">
                  <c:v>0.87159999999999993</c:v>
                </c:pt>
                <c:pt idx="5">
                  <c:v>0.82699999999999996</c:v>
                </c:pt>
                <c:pt idx="6">
                  <c:v>0.77739999999999998</c:v>
                </c:pt>
                <c:pt idx="7">
                  <c:v>0.7228</c:v>
                </c:pt>
                <c:pt idx="8">
                  <c:v>0.66320000000000001</c:v>
                </c:pt>
                <c:pt idx="9">
                  <c:v>0.59860000000000002</c:v>
                </c:pt>
                <c:pt idx="10">
                  <c:v>0.52899999999999991</c:v>
                </c:pt>
                <c:pt idx="11">
                  <c:v>0.49642750000000024</c:v>
                </c:pt>
                <c:pt idx="12">
                  <c:v>0.46361000000000008</c:v>
                </c:pt>
                <c:pt idx="13">
                  <c:v>0.43154750000000008</c:v>
                </c:pt>
                <c:pt idx="14">
                  <c:v>0.40024000000000004</c:v>
                </c:pt>
                <c:pt idx="15">
                  <c:v>0.36968750000000028</c:v>
                </c:pt>
                <c:pt idx="16">
                  <c:v>0.31084750000000017</c:v>
                </c:pt>
                <c:pt idx="17">
                  <c:v>0.25502749999999996</c:v>
                </c:pt>
                <c:pt idx="18">
                  <c:v>0.20222750000000023</c:v>
                </c:pt>
                <c:pt idx="19">
                  <c:v>0.15244750000000029</c:v>
                </c:pt>
                <c:pt idx="20">
                  <c:v>0.10568750000000038</c:v>
                </c:pt>
                <c:pt idx="21">
                  <c:v>6.1947500000000266E-2</c:v>
                </c:pt>
                <c:pt idx="22">
                  <c:v>4.1210000000000191E-2</c:v>
                </c:pt>
                <c:pt idx="23">
                  <c:v>2.1227500000000177E-2</c:v>
                </c:pt>
                <c:pt idx="24">
                  <c:v>2.0000000000004459E-3</c:v>
                </c:pt>
              </c:numCache>
            </c:numRef>
          </c:yVal>
        </c:ser>
        <c:axId val="128116608"/>
        <c:axId val="128126976"/>
      </c:scatterChart>
      <c:valAx>
        <c:axId val="128116608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</a:t>
                </a:r>
                <a:r>
                  <a:rPr lang="es-ES" sz="8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59855107243924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126976"/>
        <c:crosses val="autoZero"/>
        <c:crossBetween val="midCat"/>
      </c:valAx>
      <c:valAx>
        <c:axId val="1281269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90045248868778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11660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95407769274086"/>
          <c:y val="6.7873303167420809E-2"/>
          <c:w val="0.83455186129453052"/>
          <c:h val="0.6877828054298642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'12-15'!$A$8:$A$29</c:f>
              <c:numCache>
                <c:formatCode>General</c:formatCode>
                <c:ptCount val="22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200</c:v>
                </c:pt>
                <c:pt idx="6">
                  <c:v>240</c:v>
                </c:pt>
                <c:pt idx="7">
                  <c:v>280</c:v>
                </c:pt>
                <c:pt idx="8">
                  <c:v>320</c:v>
                </c:pt>
                <c:pt idx="9">
                  <c:v>360</c:v>
                </c:pt>
                <c:pt idx="10">
                  <c:v>400</c:v>
                </c:pt>
                <c:pt idx="11">
                  <c:v>440</c:v>
                </c:pt>
                <c:pt idx="12">
                  <c:v>480</c:v>
                </c:pt>
                <c:pt idx="13">
                  <c:v>520</c:v>
                </c:pt>
                <c:pt idx="14">
                  <c:v>560</c:v>
                </c:pt>
                <c:pt idx="15">
                  <c:v>600</c:v>
                </c:pt>
                <c:pt idx="16">
                  <c:v>640</c:v>
                </c:pt>
                <c:pt idx="17">
                  <c:v>680</c:v>
                </c:pt>
                <c:pt idx="18">
                  <c:v>720</c:v>
                </c:pt>
                <c:pt idx="19">
                  <c:v>760</c:v>
                </c:pt>
                <c:pt idx="20">
                  <c:v>780</c:v>
                </c:pt>
                <c:pt idx="21">
                  <c:v>800</c:v>
                </c:pt>
              </c:numCache>
            </c:numRef>
          </c:xVal>
          <c:yVal>
            <c:numRef>
              <c:f>'12-15'!$B$8:$B$29</c:f>
              <c:numCache>
                <c:formatCode>0.000</c:formatCode>
                <c:ptCount val="22"/>
                <c:pt idx="0">
                  <c:v>1</c:v>
                </c:pt>
                <c:pt idx="1">
                  <c:v>0.88168000000000002</c:v>
                </c:pt>
                <c:pt idx="2">
                  <c:v>0.77071999999999996</c:v>
                </c:pt>
                <c:pt idx="3">
                  <c:v>0.66711999999999994</c:v>
                </c:pt>
                <c:pt idx="4">
                  <c:v>0.57087999999999994</c:v>
                </c:pt>
                <c:pt idx="5">
                  <c:v>0.48199999999999998</c:v>
                </c:pt>
                <c:pt idx="6">
                  <c:v>0.40047999999999995</c:v>
                </c:pt>
                <c:pt idx="7">
                  <c:v>0.32631999999999994</c:v>
                </c:pt>
                <c:pt idx="8">
                  <c:v>0.25951999999999997</c:v>
                </c:pt>
                <c:pt idx="9">
                  <c:v>0.20007999999999992</c:v>
                </c:pt>
                <c:pt idx="10">
                  <c:v>0.14800000000000002</c:v>
                </c:pt>
                <c:pt idx="11">
                  <c:v>0.11539199999999994</c:v>
                </c:pt>
                <c:pt idx="12">
                  <c:v>8.5488000000000008E-2</c:v>
                </c:pt>
                <c:pt idx="13">
                  <c:v>5.9487999999999985E-2</c:v>
                </c:pt>
                <c:pt idx="14">
                  <c:v>3.7392000000000092E-2</c:v>
                </c:pt>
                <c:pt idx="15">
                  <c:v>1.9200000000000106E-2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</c:ser>
        <c:axId val="125664640"/>
        <c:axId val="125851136"/>
      </c:scatterChart>
      <c:valAx>
        <c:axId val="125664640"/>
        <c:scaling>
          <c:orientation val="minMax"/>
          <c:max val="8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</a:t>
                </a:r>
                <a:r>
                  <a:rPr lang="es-ES" sz="8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472129885497182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851136"/>
        <c:crosses val="autoZero"/>
        <c:crossBetween val="midCat"/>
      </c:valAx>
      <c:valAx>
        <c:axId val="12585113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855203619909502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66464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70731707317074"/>
          <c:y val="7.2727434142920239E-2"/>
          <c:w val="0.82926829268292679"/>
          <c:h val="0.6681833011880796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'12-15'!$A$39:$A$63</c:f>
              <c:numCache>
                <c:formatCode>General</c:formatCode>
                <c:ptCount val="25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200</c:v>
                </c:pt>
                <c:pt idx="6">
                  <c:v>240</c:v>
                </c:pt>
                <c:pt idx="7">
                  <c:v>280</c:v>
                </c:pt>
                <c:pt idx="8">
                  <c:v>320</c:v>
                </c:pt>
                <c:pt idx="9">
                  <c:v>360</c:v>
                </c:pt>
                <c:pt idx="10">
                  <c:v>400</c:v>
                </c:pt>
                <c:pt idx="11">
                  <c:v>440</c:v>
                </c:pt>
                <c:pt idx="12">
                  <c:v>480</c:v>
                </c:pt>
                <c:pt idx="13">
                  <c:v>520</c:v>
                </c:pt>
                <c:pt idx="14">
                  <c:v>560</c:v>
                </c:pt>
                <c:pt idx="15">
                  <c:v>600</c:v>
                </c:pt>
                <c:pt idx="16">
                  <c:v>640</c:v>
                </c:pt>
                <c:pt idx="17">
                  <c:v>660</c:v>
                </c:pt>
                <c:pt idx="18">
                  <c:v>680</c:v>
                </c:pt>
                <c:pt idx="19">
                  <c:v>700</c:v>
                </c:pt>
                <c:pt idx="20">
                  <c:v>720</c:v>
                </c:pt>
                <c:pt idx="21">
                  <c:v>740</c:v>
                </c:pt>
                <c:pt idx="22">
                  <c:v>760</c:v>
                </c:pt>
                <c:pt idx="23">
                  <c:v>780</c:v>
                </c:pt>
                <c:pt idx="24">
                  <c:v>800</c:v>
                </c:pt>
              </c:numCache>
            </c:numRef>
          </c:xVal>
          <c:yVal>
            <c:numRef>
              <c:f>'12-15'!$B$39:$B$63</c:f>
              <c:numCache>
                <c:formatCode>0.000</c:formatCode>
                <c:ptCount val="25"/>
                <c:pt idx="0">
                  <c:v>1</c:v>
                </c:pt>
                <c:pt idx="1">
                  <c:v>0.88168000000000002</c:v>
                </c:pt>
                <c:pt idx="2">
                  <c:v>0.77071999999999996</c:v>
                </c:pt>
                <c:pt idx="3">
                  <c:v>0.66711999999999994</c:v>
                </c:pt>
                <c:pt idx="4">
                  <c:v>0.57087999999999994</c:v>
                </c:pt>
                <c:pt idx="5">
                  <c:v>0.48199999999999998</c:v>
                </c:pt>
                <c:pt idx="6">
                  <c:v>0.40047999999999995</c:v>
                </c:pt>
                <c:pt idx="7">
                  <c:v>0.32631999999999994</c:v>
                </c:pt>
                <c:pt idx="8">
                  <c:v>0.25951999999999997</c:v>
                </c:pt>
                <c:pt idx="9">
                  <c:v>0.20007999999999992</c:v>
                </c:pt>
                <c:pt idx="10">
                  <c:v>0.14800000000000002</c:v>
                </c:pt>
                <c:pt idx="11">
                  <c:v>0.11539199999999994</c:v>
                </c:pt>
                <c:pt idx="12">
                  <c:v>8.5488000000000008E-2</c:v>
                </c:pt>
                <c:pt idx="13">
                  <c:v>5.9487999999999985E-2</c:v>
                </c:pt>
                <c:pt idx="14">
                  <c:v>3.7392000000000092E-2</c:v>
                </c:pt>
                <c:pt idx="15">
                  <c:v>1.9200000000000106E-2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</c:ser>
        <c:axId val="125883136"/>
        <c:axId val="125885056"/>
      </c:scatterChart>
      <c:valAx>
        <c:axId val="125883136"/>
        <c:scaling>
          <c:orientation val="minMax"/>
          <c:max val="8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</a:t>
                </a:r>
                <a:r>
                  <a:rPr lang="es-ES" sz="8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341463414634149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885056"/>
        <c:crosses val="autoZero"/>
        <c:crossBetween val="midCat"/>
      </c:valAx>
      <c:valAx>
        <c:axId val="12588505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31818696330558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883136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224953469964699"/>
          <c:y val="6.8493456110231651E-2"/>
          <c:w val="0.84107679873357122"/>
          <c:h val="0.6895007915096653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'12-15'!$A$73:$A$96</c:f>
              <c:numCache>
                <c:formatCode>General</c:formatCode>
                <c:ptCount val="24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200</c:v>
                </c:pt>
                <c:pt idx="6">
                  <c:v>240</c:v>
                </c:pt>
                <c:pt idx="7">
                  <c:v>280</c:v>
                </c:pt>
                <c:pt idx="8">
                  <c:v>320</c:v>
                </c:pt>
                <c:pt idx="9">
                  <c:v>360</c:v>
                </c:pt>
                <c:pt idx="10">
                  <c:v>400</c:v>
                </c:pt>
                <c:pt idx="11">
                  <c:v>440</c:v>
                </c:pt>
                <c:pt idx="12">
                  <c:v>480</c:v>
                </c:pt>
                <c:pt idx="13">
                  <c:v>520</c:v>
                </c:pt>
                <c:pt idx="14">
                  <c:v>560</c:v>
                </c:pt>
                <c:pt idx="15">
                  <c:v>600</c:v>
                </c:pt>
                <c:pt idx="16">
                  <c:v>640</c:v>
                </c:pt>
                <c:pt idx="17">
                  <c:v>660</c:v>
                </c:pt>
                <c:pt idx="18">
                  <c:v>680</c:v>
                </c:pt>
                <c:pt idx="19">
                  <c:v>700</c:v>
                </c:pt>
                <c:pt idx="20">
                  <c:v>720</c:v>
                </c:pt>
                <c:pt idx="21">
                  <c:v>740</c:v>
                </c:pt>
                <c:pt idx="22">
                  <c:v>760</c:v>
                </c:pt>
                <c:pt idx="23">
                  <c:v>800</c:v>
                </c:pt>
              </c:numCache>
            </c:numRef>
          </c:xVal>
          <c:yVal>
            <c:numRef>
              <c:f>'12-15'!$B$73:$B$96</c:f>
              <c:numCache>
                <c:formatCode>0.000</c:formatCode>
                <c:ptCount val="24"/>
                <c:pt idx="0">
                  <c:v>1</c:v>
                </c:pt>
                <c:pt idx="1">
                  <c:v>0.88168000000000002</c:v>
                </c:pt>
                <c:pt idx="2">
                  <c:v>0.77071999999999996</c:v>
                </c:pt>
                <c:pt idx="3">
                  <c:v>0.66711999999999994</c:v>
                </c:pt>
                <c:pt idx="4">
                  <c:v>0.57087999999999994</c:v>
                </c:pt>
                <c:pt idx="5">
                  <c:v>0.48199999999999998</c:v>
                </c:pt>
                <c:pt idx="6">
                  <c:v>0.40047999999999995</c:v>
                </c:pt>
                <c:pt idx="7">
                  <c:v>0.32631999999999994</c:v>
                </c:pt>
                <c:pt idx="8">
                  <c:v>0.25951999999999997</c:v>
                </c:pt>
                <c:pt idx="9">
                  <c:v>0.20007999999999992</c:v>
                </c:pt>
                <c:pt idx="10">
                  <c:v>0.14800000000000002</c:v>
                </c:pt>
                <c:pt idx="11">
                  <c:v>0.11539199999999994</c:v>
                </c:pt>
                <c:pt idx="12">
                  <c:v>8.5488000000000008E-2</c:v>
                </c:pt>
                <c:pt idx="13">
                  <c:v>5.9487999999999985E-2</c:v>
                </c:pt>
                <c:pt idx="14">
                  <c:v>3.7392000000000092E-2</c:v>
                </c:pt>
                <c:pt idx="15">
                  <c:v>1.9200000000000106E-2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</c:ser>
        <c:axId val="126457728"/>
        <c:axId val="126464000"/>
      </c:scatterChart>
      <c:valAx>
        <c:axId val="126457728"/>
        <c:scaling>
          <c:orientation val="minMax"/>
          <c:max val="8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</a:t>
                </a:r>
                <a:r>
                  <a:rPr lang="es-ES" sz="8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5965825047067266"/>
              <c:y val="0.885848699025662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464000"/>
        <c:crosses val="autoZero"/>
        <c:crossBetween val="midCat"/>
      </c:valAx>
      <c:valAx>
        <c:axId val="12646400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4669944163957638E-2"/>
              <c:y val="0.237443981182136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457728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65479027617063"/>
          <c:y val="6.8181969508987722E-2"/>
          <c:w val="0.84185114871110078"/>
          <c:h val="0.6954560889916747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'12-15'!$A$106:$A$122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70</c:v>
                </c:pt>
                <c:pt idx="14">
                  <c:v>80</c:v>
                </c:pt>
                <c:pt idx="15">
                  <c:v>90</c:v>
                </c:pt>
                <c:pt idx="16">
                  <c:v>100</c:v>
                </c:pt>
              </c:numCache>
            </c:numRef>
          </c:xVal>
          <c:yVal>
            <c:numRef>
              <c:f>'12-15'!$B$106:$B$122</c:f>
              <c:numCache>
                <c:formatCode>0.000</c:formatCode>
                <c:ptCount val="17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0.64999999999999991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0.44999999999999996</c:v>
                </c:pt>
                <c:pt idx="12">
                  <c:v>0.4</c:v>
                </c:pt>
                <c:pt idx="13">
                  <c:v>0.29999999999999993</c:v>
                </c:pt>
                <c:pt idx="14">
                  <c:v>0.19999999999999996</c:v>
                </c:pt>
                <c:pt idx="15">
                  <c:v>9.9999999999999978E-2</c:v>
                </c:pt>
                <c:pt idx="16">
                  <c:v>0</c:v>
                </c:pt>
              </c:numCache>
            </c:numRef>
          </c:yVal>
        </c:ser>
        <c:axId val="126483456"/>
        <c:axId val="126555264"/>
      </c:scatterChart>
      <c:valAx>
        <c:axId val="126483456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2798178979858057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555264"/>
        <c:crosses val="autoZero"/>
        <c:crossBetween val="midCat"/>
      </c:valAx>
      <c:valAx>
        <c:axId val="1265552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8636404999123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483456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634146341463414"/>
          <c:y val="6.7873303167420809E-2"/>
          <c:w val="0.82195121951219507"/>
          <c:h val="0.7239819004524886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'16'!$A$8:$A$24</c:f>
              <c:numCache>
                <c:formatCode>0.00</c:formatCode>
                <c:ptCount val="1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0.22500000000000001</c:v>
                </c:pt>
                <c:pt idx="6">
                  <c:v>0.25</c:v>
                </c:pt>
                <c:pt idx="7">
                  <c:v>0.27500000000000002</c:v>
                </c:pt>
                <c:pt idx="8">
                  <c:v>0.30000000000000004</c:v>
                </c:pt>
                <c:pt idx="9">
                  <c:v>0.33</c:v>
                </c:pt>
                <c:pt idx="10">
                  <c:v>0.34</c:v>
                </c:pt>
                <c:pt idx="11">
                  <c:v>0.35</c:v>
                </c:pt>
                <c:pt idx="12">
                  <c:v>0.36</c:v>
                </c:pt>
                <c:pt idx="13">
                  <c:v>0.37</c:v>
                </c:pt>
                <c:pt idx="14">
                  <c:v>0.38</c:v>
                </c:pt>
                <c:pt idx="15">
                  <c:v>0.39</c:v>
                </c:pt>
                <c:pt idx="16">
                  <c:v>0.4</c:v>
                </c:pt>
              </c:numCache>
            </c:numRef>
          </c:xVal>
          <c:yVal>
            <c:numRef>
              <c:f>'16'!$B$8:$B$24</c:f>
              <c:numCache>
                <c:formatCode>0.000</c:formatCode>
                <c:ptCount val="17"/>
                <c:pt idx="0">
                  <c:v>1</c:v>
                </c:pt>
                <c:pt idx="1">
                  <c:v>0.98250000000000004</c:v>
                </c:pt>
                <c:pt idx="2">
                  <c:v>0.91</c:v>
                </c:pt>
                <c:pt idx="3">
                  <c:v>0.78249999999999997</c:v>
                </c:pt>
                <c:pt idx="4">
                  <c:v>0.6</c:v>
                </c:pt>
                <c:pt idx="5">
                  <c:v>0.44437499999999952</c:v>
                </c:pt>
                <c:pt idx="6">
                  <c:v>0.31249999999999956</c:v>
                </c:pt>
                <c:pt idx="7">
                  <c:v>0.21437499999999909</c:v>
                </c:pt>
                <c:pt idx="8">
                  <c:v>0.14999999999999902</c:v>
                </c:pt>
                <c:pt idx="9">
                  <c:v>0.11729999999999929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</c:numCache>
            </c:numRef>
          </c:yVal>
        </c:ser>
        <c:axId val="126817792"/>
        <c:axId val="126819712"/>
      </c:scatterChart>
      <c:valAx>
        <c:axId val="126817792"/>
        <c:scaling>
          <c:orientation val="minMax"/>
          <c:max val="0.4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ppm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82352941176470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819712"/>
        <c:crosses val="autoZero"/>
        <c:crossBetween val="midCat"/>
      </c:valAx>
      <c:valAx>
        <c:axId val="126819712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4634146341463415E-2"/>
              <c:y val="0.1990950226244343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81779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82026930378768"/>
          <c:y val="7.2072389113479698E-2"/>
          <c:w val="0.83455186129453052"/>
          <c:h val="0.6936967452172421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'17-23'!$A$8:$A$27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30</c:v>
                </c:pt>
                <c:pt idx="5">
                  <c:v>31</c:v>
                </c:pt>
                <c:pt idx="6">
                  <c:v>33</c:v>
                </c:pt>
                <c:pt idx="7">
                  <c:v>35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48</c:v>
                </c:pt>
                <c:pt idx="15">
                  <c:v>50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</c:numCache>
            </c:numRef>
          </c:xVal>
          <c:yVal>
            <c:numRef>
              <c:f>'17-23'!$B$8:$B$27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0.99199999999999999</c:v>
                </c:pt>
                <c:pt idx="5">
                  <c:v>0.98958000000000013</c:v>
                </c:pt>
                <c:pt idx="6">
                  <c:v>0.97142000000000017</c:v>
                </c:pt>
                <c:pt idx="7">
                  <c:v>0.93550000000000022</c:v>
                </c:pt>
                <c:pt idx="8">
                  <c:v>0.81037999999999988</c:v>
                </c:pt>
                <c:pt idx="9">
                  <c:v>0.72117999999999993</c:v>
                </c:pt>
                <c:pt idx="10">
                  <c:v>0.61421999999999954</c:v>
                </c:pt>
                <c:pt idx="11">
                  <c:v>0.55407999999999991</c:v>
                </c:pt>
                <c:pt idx="12">
                  <c:v>0.4894999999999996</c:v>
                </c:pt>
                <c:pt idx="13">
                  <c:v>0.41552000000000078</c:v>
                </c:pt>
                <c:pt idx="14">
                  <c:v>0.29887999999999959</c:v>
                </c:pt>
                <c:pt idx="15">
                  <c:v>0.19999999999999929</c:v>
                </c:pt>
                <c:pt idx="16">
                  <c:v>0.11887999999999987</c:v>
                </c:pt>
                <c:pt idx="17">
                  <c:v>8.4979999999998945E-2</c:v>
                </c:pt>
                <c:pt idx="18">
                  <c:v>5.551999999999957E-2</c:v>
                </c:pt>
                <c:pt idx="19">
                  <c:v>9.9199999999992627E-3</c:v>
                </c:pt>
              </c:numCache>
            </c:numRef>
          </c:yVal>
        </c:ser>
        <c:axId val="126832000"/>
        <c:axId val="126850560"/>
      </c:scatterChart>
      <c:valAx>
        <c:axId val="126832000"/>
        <c:scaling>
          <c:orientation val="minMax"/>
          <c:max val="56"/>
          <c:min val="0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dB</a:t>
                </a:r>
              </a:p>
            </c:rich>
          </c:tx>
          <c:layout>
            <c:manualLayout>
              <c:xMode val="edge"/>
              <c:yMode val="edge"/>
              <c:x val="0.51338321496544004"/>
              <c:y val="0.882886766640126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850560"/>
        <c:crosses val="autoZero"/>
        <c:crossBetween val="midCat"/>
      </c:valAx>
      <c:valAx>
        <c:axId val="126850560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027035943816616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83200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82026930378768"/>
          <c:y val="7.2398190045248875E-2"/>
          <c:w val="0.83455186129453052"/>
          <c:h val="0.6923076923076922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'17-23'!$A$36:$A$55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35</c:v>
                </c:pt>
                <c:pt idx="6">
                  <c:v>37</c:v>
                </c:pt>
                <c:pt idx="7">
                  <c:v>40</c:v>
                </c:pt>
                <c:pt idx="8">
                  <c:v>43</c:v>
                </c:pt>
                <c:pt idx="9">
                  <c:v>45</c:v>
                </c:pt>
                <c:pt idx="10">
                  <c:v>48</c:v>
                </c:pt>
                <c:pt idx="11">
                  <c:v>50</c:v>
                </c:pt>
                <c:pt idx="12">
                  <c:v>52</c:v>
                </c:pt>
                <c:pt idx="13">
                  <c:v>53</c:v>
                </c:pt>
                <c:pt idx="14">
                  <c:v>57</c:v>
                </c:pt>
                <c:pt idx="15">
                  <c:v>59</c:v>
                </c:pt>
                <c:pt idx="16">
                  <c:v>61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</c:numCache>
            </c:numRef>
          </c:xVal>
          <c:yVal>
            <c:numRef>
              <c:f>'17-23'!$B$36:$B$55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0.99325000000000019</c:v>
                </c:pt>
                <c:pt idx="6">
                  <c:v>0.98653000000000013</c:v>
                </c:pt>
                <c:pt idx="7">
                  <c:v>0.9520000000000004</c:v>
                </c:pt>
                <c:pt idx="8">
                  <c:v>0.88813000000000031</c:v>
                </c:pt>
                <c:pt idx="9">
                  <c:v>0.82925000000000004</c:v>
                </c:pt>
                <c:pt idx="10">
                  <c:v>0.71648000000000067</c:v>
                </c:pt>
                <c:pt idx="11">
                  <c:v>0.625</c:v>
                </c:pt>
                <c:pt idx="12">
                  <c:v>0.52048000000000005</c:v>
                </c:pt>
                <c:pt idx="13">
                  <c:v>0.44166999999999934</c:v>
                </c:pt>
                <c:pt idx="14">
                  <c:v>0.24286999999999903</c:v>
                </c:pt>
                <c:pt idx="15">
                  <c:v>0.16302999999999912</c:v>
                </c:pt>
                <c:pt idx="16">
                  <c:v>9.6229999999998483E-2</c:v>
                </c:pt>
                <c:pt idx="17">
                  <c:v>4.2469999999998009E-2</c:v>
                </c:pt>
                <c:pt idx="18">
                  <c:v>2.0479999999999166E-2</c:v>
                </c:pt>
                <c:pt idx="19">
                  <c:v>1.7500000000003624E-3</c:v>
                </c:pt>
              </c:numCache>
            </c:numRef>
          </c:yVal>
          <c:smooth val="1"/>
        </c:ser>
        <c:axId val="126883712"/>
        <c:axId val="126902272"/>
      </c:scatterChart>
      <c:valAx>
        <c:axId val="126883712"/>
        <c:scaling>
          <c:orientation val="minMax"/>
          <c:max val="65"/>
          <c:min val="0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dB</a:t>
                </a:r>
              </a:p>
            </c:rich>
          </c:tx>
          <c:layout>
            <c:manualLayout>
              <c:xMode val="edge"/>
              <c:yMode val="edge"/>
              <c:x val="0.53041488560410399"/>
              <c:y val="0.882352941176470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902272"/>
        <c:crosses val="autoZero"/>
        <c:crossBetween val="midCat"/>
      </c:valAx>
      <c:valAx>
        <c:axId val="126902272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809954751131221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88371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38717349826429"/>
          <c:y val="7.2398190045248875E-2"/>
          <c:w val="0.83698495710005394"/>
          <c:h val="0.67420814479638014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'17-23'!$A$65:$A$84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36</c:v>
                </c:pt>
                <c:pt idx="8">
                  <c:v>38</c:v>
                </c:pt>
                <c:pt idx="9">
                  <c:v>40</c:v>
                </c:pt>
                <c:pt idx="10">
                  <c:v>42</c:v>
                </c:pt>
                <c:pt idx="11">
                  <c:v>44</c:v>
                </c:pt>
                <c:pt idx="12">
                  <c:v>46</c:v>
                </c:pt>
                <c:pt idx="13">
                  <c:v>48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80</c:v>
                </c:pt>
              </c:numCache>
            </c:numRef>
          </c:xVal>
          <c:yVal>
            <c:numRef>
              <c:f>'17-23'!$B$65:$B$84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0.99999999999999989</c:v>
                </c:pt>
                <c:pt idx="5">
                  <c:v>0.99680000000000002</c:v>
                </c:pt>
                <c:pt idx="6">
                  <c:v>0.98720000000000008</c:v>
                </c:pt>
                <c:pt idx="7">
                  <c:v>0.97120000000000006</c:v>
                </c:pt>
                <c:pt idx="8">
                  <c:v>0.94880000000000009</c:v>
                </c:pt>
                <c:pt idx="9">
                  <c:v>0.91999999999999993</c:v>
                </c:pt>
                <c:pt idx="10">
                  <c:v>0.88480000000000003</c:v>
                </c:pt>
                <c:pt idx="11">
                  <c:v>0.84319999999999995</c:v>
                </c:pt>
                <c:pt idx="12">
                  <c:v>0.79520000000000013</c:v>
                </c:pt>
                <c:pt idx="13">
                  <c:v>0.74080000000000013</c:v>
                </c:pt>
                <c:pt idx="14">
                  <c:v>0.67999999999999994</c:v>
                </c:pt>
                <c:pt idx="15">
                  <c:v>0.5</c:v>
                </c:pt>
                <c:pt idx="16">
                  <c:v>0.32000000000000117</c:v>
                </c:pt>
                <c:pt idx="17">
                  <c:v>0.1800000000000006</c:v>
                </c:pt>
                <c:pt idx="18">
                  <c:v>7.9999999999999183E-2</c:v>
                </c:pt>
                <c:pt idx="19">
                  <c:v>0</c:v>
                </c:pt>
              </c:numCache>
            </c:numRef>
          </c:yVal>
          <c:smooth val="1"/>
        </c:ser>
        <c:axId val="126938112"/>
        <c:axId val="126952576"/>
      </c:scatterChart>
      <c:valAx>
        <c:axId val="126938112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dB</a:t>
                </a:r>
              </a:p>
            </c:rich>
          </c:tx>
          <c:layout>
            <c:manualLayout>
              <c:xMode val="edge"/>
              <c:yMode val="edge"/>
              <c:x val="0.52798178979858057"/>
              <c:y val="0.882352941176470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952576"/>
        <c:crosses val="autoZero"/>
        <c:crossBetween val="midCat"/>
      </c:valAx>
      <c:valAx>
        <c:axId val="1269525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764705882352941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93811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408788608169405"/>
          <c:y val="6.8181969508987722E-2"/>
          <c:w val="0.84671734032214763"/>
          <c:h val="0.70000155362560734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'17-23'!$A$94:$A$113</c:f>
              <c:numCache>
                <c:formatCode>0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42</c:v>
                </c:pt>
                <c:pt idx="6">
                  <c:v>45</c:v>
                </c:pt>
                <c:pt idx="7">
                  <c:v>48</c:v>
                </c:pt>
                <c:pt idx="8">
                  <c:v>50</c:v>
                </c:pt>
                <c:pt idx="9">
                  <c:v>52</c:v>
                </c:pt>
                <c:pt idx="10">
                  <c:v>55</c:v>
                </c:pt>
                <c:pt idx="11">
                  <c:v>57</c:v>
                </c:pt>
                <c:pt idx="12">
                  <c:v>60</c:v>
                </c:pt>
                <c:pt idx="13">
                  <c:v>61</c:v>
                </c:pt>
                <c:pt idx="14">
                  <c:v>65</c:v>
                </c:pt>
                <c:pt idx="15">
                  <c:v>67</c:v>
                </c:pt>
                <c:pt idx="16">
                  <c:v>70</c:v>
                </c:pt>
                <c:pt idx="17">
                  <c:v>72</c:v>
                </c:pt>
                <c:pt idx="18">
                  <c:v>75</c:v>
                </c:pt>
                <c:pt idx="19">
                  <c:v>80</c:v>
                </c:pt>
              </c:numCache>
            </c:numRef>
          </c:xVal>
          <c:yVal>
            <c:numRef>
              <c:f>'17-23'!$B$94:$B$113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0.99500000000000011</c:v>
                </c:pt>
                <c:pt idx="6">
                  <c:v>0.96875</c:v>
                </c:pt>
                <c:pt idx="7">
                  <c:v>0.92000000000000082</c:v>
                </c:pt>
                <c:pt idx="8">
                  <c:v>0.875</c:v>
                </c:pt>
                <c:pt idx="9">
                  <c:v>0.82000000000000028</c:v>
                </c:pt>
                <c:pt idx="10">
                  <c:v>0.71875</c:v>
                </c:pt>
                <c:pt idx="11">
                  <c:v>0.63874999999999993</c:v>
                </c:pt>
                <c:pt idx="12">
                  <c:v>0.5</c:v>
                </c:pt>
                <c:pt idx="13">
                  <c:v>0.45124999999999904</c:v>
                </c:pt>
                <c:pt idx="14">
                  <c:v>0.28125</c:v>
                </c:pt>
                <c:pt idx="15">
                  <c:v>0.21124999999999972</c:v>
                </c:pt>
                <c:pt idx="16">
                  <c:v>0.125</c:v>
                </c:pt>
                <c:pt idx="17">
                  <c:v>8.0000000000000071E-2</c:v>
                </c:pt>
                <c:pt idx="18">
                  <c:v>3.125E-2</c:v>
                </c:pt>
                <c:pt idx="19">
                  <c:v>0</c:v>
                </c:pt>
              </c:numCache>
            </c:numRef>
          </c:yVal>
          <c:smooth val="1"/>
        </c:ser>
        <c:axId val="126972288"/>
        <c:axId val="126974208"/>
      </c:scatterChart>
      <c:valAx>
        <c:axId val="126972288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dB</a:t>
                </a:r>
              </a:p>
            </c:rich>
          </c:tx>
          <c:layout>
            <c:manualLayout>
              <c:xMode val="edge"/>
              <c:yMode val="edge"/>
              <c:x val="0.53041488560410399"/>
              <c:y val="0.881820138982907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974208"/>
        <c:crosses val="autoZero"/>
        <c:crossBetween val="midCat"/>
      </c:valAx>
      <c:valAx>
        <c:axId val="126974208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818185853573006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972288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2169447064722"/>
          <c:y val="6.8181969508987722E-2"/>
          <c:w val="0.85158353193319436"/>
          <c:h val="0.6954560889916747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'17-23'!$A$123:$A$145</c:f>
              <c:numCache>
                <c:formatCode>General</c:formatCode>
                <c:ptCount val="23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78</c:v>
                </c:pt>
                <c:pt idx="21">
                  <c:v>80</c:v>
                </c:pt>
                <c:pt idx="22">
                  <c:v>90</c:v>
                </c:pt>
              </c:numCache>
            </c:numRef>
          </c:xVal>
          <c:yVal>
            <c:numRef>
              <c:f>'17-23'!$B$123:$B$145</c:f>
              <c:numCache>
                <c:formatCode>0.000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0.99625600000000014</c:v>
                </c:pt>
                <c:pt idx="9">
                  <c:v>0.97822400000000009</c:v>
                </c:pt>
                <c:pt idx="10">
                  <c:v>0.94240000000000013</c:v>
                </c:pt>
                <c:pt idx="11">
                  <c:v>0.88878400000000024</c:v>
                </c:pt>
                <c:pt idx="12">
                  <c:v>0.81737600000000032</c:v>
                </c:pt>
                <c:pt idx="13">
                  <c:v>0.72817600000000038</c:v>
                </c:pt>
                <c:pt idx="14">
                  <c:v>0.6211840000000004</c:v>
                </c:pt>
                <c:pt idx="15">
                  <c:v>0.4964000000000004</c:v>
                </c:pt>
                <c:pt idx="16">
                  <c:v>0.37737599999999993</c:v>
                </c:pt>
                <c:pt idx="17">
                  <c:v>0.27094399999999919</c:v>
                </c:pt>
                <c:pt idx="18">
                  <c:v>0.18230400000000024</c:v>
                </c:pt>
                <c:pt idx="19">
                  <c:v>0.11145599999999867</c:v>
                </c:pt>
                <c:pt idx="20">
                  <c:v>8.2703999999999667E-2</c:v>
                </c:pt>
                <c:pt idx="21">
                  <c:v>5.8399999999999785E-2</c:v>
                </c:pt>
                <c:pt idx="22">
                  <c:v>3.5999999999996035E-3</c:v>
                </c:pt>
              </c:numCache>
            </c:numRef>
          </c:yVal>
        </c:ser>
        <c:axId val="127014400"/>
        <c:axId val="127016320"/>
      </c:scatterChart>
      <c:valAx>
        <c:axId val="127014400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52798178979858057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016320"/>
        <c:crosses val="autoZero"/>
        <c:crossBetween val="midCat"/>
        <c:majorUnit val="10"/>
      </c:valAx>
      <c:valAx>
        <c:axId val="1270163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272732316966257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01440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8859866512381"/>
          <c:y val="6.7873303167420809E-2"/>
          <c:w val="0.85401662773871778"/>
          <c:h val="0.7013574660633483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'17-23'!$A$155:$A$174</c:f>
              <c:numCache>
                <c:formatCode>General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60</c:v>
                </c:pt>
                <c:pt idx="15">
                  <c:v>64</c:v>
                </c:pt>
                <c:pt idx="16">
                  <c:v>68</c:v>
                </c:pt>
                <c:pt idx="17">
                  <c:v>76</c:v>
                </c:pt>
                <c:pt idx="18">
                  <c:v>80</c:v>
                </c:pt>
                <c:pt idx="19">
                  <c:v>90</c:v>
                </c:pt>
              </c:numCache>
            </c:numRef>
          </c:xVal>
          <c:yVal>
            <c:numRef>
              <c:f>'17-23'!$B$155:$B$174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0.99625600000000014</c:v>
                </c:pt>
                <c:pt idx="9">
                  <c:v>0.97822400000000009</c:v>
                </c:pt>
                <c:pt idx="10">
                  <c:v>0.94240000000000013</c:v>
                </c:pt>
                <c:pt idx="11">
                  <c:v>0.88878400000000024</c:v>
                </c:pt>
                <c:pt idx="12">
                  <c:v>0.81737600000000032</c:v>
                </c:pt>
                <c:pt idx="13">
                  <c:v>0.72817600000000038</c:v>
                </c:pt>
                <c:pt idx="14">
                  <c:v>0.4964000000000004</c:v>
                </c:pt>
                <c:pt idx="15">
                  <c:v>0.37737599999999993</c:v>
                </c:pt>
                <c:pt idx="16">
                  <c:v>0.27094399999999919</c:v>
                </c:pt>
                <c:pt idx="17">
                  <c:v>0.11145599999999867</c:v>
                </c:pt>
                <c:pt idx="18">
                  <c:v>5.8399999999999785E-2</c:v>
                </c:pt>
                <c:pt idx="19">
                  <c:v>3.5999999999996035E-3</c:v>
                </c:pt>
              </c:numCache>
            </c:numRef>
          </c:yVal>
        </c:ser>
        <c:axId val="127040896"/>
        <c:axId val="127141376"/>
      </c:scatterChart>
      <c:valAx>
        <c:axId val="127040896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43552414918869087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141376"/>
        <c:crosses val="autoZero"/>
        <c:crossBetween val="midCat"/>
        <c:majorUnit val="10"/>
      </c:valAx>
      <c:valAx>
        <c:axId val="1271413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04089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8859866512381"/>
          <c:y val="6.7873303167420809E-2"/>
          <c:w val="0.84671734032214763"/>
          <c:h val="0.69683257918552033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'17-23'!$A$184:$A$202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'17-23'!$B$184:$B$202</c:f>
              <c:numCache>
                <c:formatCode>0.000</c:formatCode>
                <c:ptCount val="19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0.64999999999999991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0.44999999999999996</c:v>
                </c:pt>
                <c:pt idx="12">
                  <c:v>0.4</c:v>
                </c:pt>
                <c:pt idx="13">
                  <c:v>0.35</c:v>
                </c:pt>
                <c:pt idx="14">
                  <c:v>0.29999999999999993</c:v>
                </c:pt>
                <c:pt idx="15">
                  <c:v>0.25</c:v>
                </c:pt>
                <c:pt idx="16">
                  <c:v>0.19999999999999996</c:v>
                </c:pt>
                <c:pt idx="17">
                  <c:v>9.9999999999999978E-2</c:v>
                </c:pt>
                <c:pt idx="18">
                  <c:v>0</c:v>
                </c:pt>
              </c:numCache>
            </c:numRef>
          </c:yVal>
        </c:ser>
        <c:axId val="127173376"/>
        <c:axId val="127175296"/>
      </c:scatterChart>
      <c:valAx>
        <c:axId val="12717337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49391844852125277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175296"/>
        <c:crosses val="autoZero"/>
        <c:crossBetween val="midCat"/>
        <c:majorUnit val="10"/>
      </c:valAx>
      <c:valAx>
        <c:axId val="12717529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17337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"/>
          <c:y val="6.8493456110231651E-2"/>
          <c:w val="0.87073170731707317"/>
          <c:h val="0.7351630955831530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'24-30'!$A$8:$A$27</c:f>
              <c:numCache>
                <c:formatCode>0.0</c:formatCode>
                <c:ptCount val="2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20</c:v>
                </c:pt>
                <c:pt idx="8">
                  <c:v>22.5</c:v>
                </c:pt>
                <c:pt idx="9">
                  <c:v>25</c:v>
                </c:pt>
                <c:pt idx="10">
                  <c:v>27.5</c:v>
                </c:pt>
                <c:pt idx="11">
                  <c:v>30</c:v>
                </c:pt>
                <c:pt idx="12">
                  <c:v>32.5</c:v>
                </c:pt>
                <c:pt idx="13">
                  <c:v>35</c:v>
                </c:pt>
                <c:pt idx="14">
                  <c:v>37.5</c:v>
                </c:pt>
                <c:pt idx="15">
                  <c:v>40</c:v>
                </c:pt>
                <c:pt idx="16">
                  <c:v>42.5</c:v>
                </c:pt>
                <c:pt idx="17">
                  <c:v>45</c:v>
                </c:pt>
                <c:pt idx="18">
                  <c:v>47.5</c:v>
                </c:pt>
                <c:pt idx="19">
                  <c:v>50</c:v>
                </c:pt>
              </c:numCache>
            </c:numRef>
          </c:xVal>
          <c:yVal>
            <c:numRef>
              <c:f>'24-30'!$B$8:$B$27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0.98000000000000043</c:v>
                </c:pt>
                <c:pt idx="11">
                  <c:v>0.91999999999999948</c:v>
                </c:pt>
                <c:pt idx="12">
                  <c:v>0.81999999999999984</c:v>
                </c:pt>
                <c:pt idx="13">
                  <c:v>0.68000000000000016</c:v>
                </c:pt>
                <c:pt idx="14">
                  <c:v>0.5</c:v>
                </c:pt>
                <c:pt idx="15">
                  <c:v>0.3199999999999994</c:v>
                </c:pt>
                <c:pt idx="16">
                  <c:v>0.1800000000000006</c:v>
                </c:pt>
                <c:pt idx="17">
                  <c:v>8.0000000000000071E-2</c:v>
                </c:pt>
                <c:pt idx="18">
                  <c:v>1.9999999999999574E-2</c:v>
                </c:pt>
                <c:pt idx="19">
                  <c:v>0</c:v>
                </c:pt>
              </c:numCache>
            </c:numRef>
          </c:yVal>
        </c:ser>
        <c:axId val="127210624"/>
        <c:axId val="127212544"/>
      </c:scatterChart>
      <c:valAx>
        <c:axId val="127210624"/>
        <c:scaling>
          <c:orientation val="minMax"/>
          <c:max val="5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4195121951219512"/>
              <c:y val="0.885848699025662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12544"/>
        <c:crosses val="autoZero"/>
        <c:crossBetween val="midCat"/>
      </c:valAx>
      <c:valAx>
        <c:axId val="12721254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511426724041827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1062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CA vs Ind4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Ind4 vs CA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[1]Hoja1!#REF!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[1]Hoja1!#REF!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127224064"/>
        <c:axId val="127238912"/>
      </c:scatterChart>
      <c:valAx>
        <c:axId val="127224064"/>
        <c:scaling>
          <c:orientation val="minMax"/>
          <c:max val="60"/>
          <c:min val="0"/>
        </c:scaling>
        <c:axPos val="b"/>
        <c:title>
          <c:tx>
            <c:rich>
              <a:bodyPr/>
              <a:lstStyle/>
              <a:p>
                <a:pPr>
                  <a:defRPr sz="3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nivel CO mgm3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38912"/>
        <c:crosses val="autoZero"/>
        <c:crossBetween val="midCat"/>
      </c:valAx>
      <c:valAx>
        <c:axId val="127238912"/>
        <c:scaling>
          <c:orientation val="minMax"/>
          <c:max val="1"/>
          <c:min val="0"/>
        </c:scaling>
        <c:axPos val="l"/>
        <c:title>
          <c:tx>
            <c:rich>
              <a:bodyPr/>
              <a:lstStyle/>
              <a:p>
                <a:pPr>
                  <a:defRPr sz="3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24064"/>
        <c:crosses val="autoZero"/>
        <c:crossBetween val="midCat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95121951219512"/>
          <c:y val="6.7873303167420809E-2"/>
          <c:w val="0.84878048780487803"/>
          <c:h val="0.7239819004524886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'24-30'!$A$37:$A$56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  <c:pt idx="10">
                  <c:v>38</c:v>
                </c:pt>
                <c:pt idx="11">
                  <c:v>40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50</c:v>
                </c:pt>
                <c:pt idx="17">
                  <c:v>52</c:v>
                </c:pt>
                <c:pt idx="18">
                  <c:v>54</c:v>
                </c:pt>
                <c:pt idx="19">
                  <c:v>56</c:v>
                </c:pt>
              </c:numCache>
            </c:numRef>
          </c:xVal>
          <c:yVal>
            <c:numRef>
              <c:f>'24-30'!$B$37:$B$56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0.98272000000000004</c:v>
                </c:pt>
                <c:pt idx="8">
                  <c:v>0.95568000000000008</c:v>
                </c:pt>
                <c:pt idx="9">
                  <c:v>0.91088000000000013</c:v>
                </c:pt>
                <c:pt idx="10">
                  <c:v>0.84832000000000019</c:v>
                </c:pt>
                <c:pt idx="11">
                  <c:v>0.76799999999999979</c:v>
                </c:pt>
                <c:pt idx="12">
                  <c:v>0.66991999999999985</c:v>
                </c:pt>
                <c:pt idx="13">
                  <c:v>0.55407999999999991</c:v>
                </c:pt>
                <c:pt idx="14">
                  <c:v>0.41552000000000078</c:v>
                </c:pt>
                <c:pt idx="15">
                  <c:v>0.29887999999999959</c:v>
                </c:pt>
                <c:pt idx="16">
                  <c:v>0.19999999999999929</c:v>
                </c:pt>
                <c:pt idx="17">
                  <c:v>0.11887999999999987</c:v>
                </c:pt>
                <c:pt idx="18">
                  <c:v>5.551999999999957E-2</c:v>
                </c:pt>
                <c:pt idx="19">
                  <c:v>9.9199999999992627E-3</c:v>
                </c:pt>
              </c:numCache>
            </c:numRef>
          </c:yVal>
        </c:ser>
        <c:axId val="127259008"/>
        <c:axId val="127260928"/>
      </c:scatterChart>
      <c:valAx>
        <c:axId val="12725900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43414634146341463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60928"/>
        <c:crosses val="autoZero"/>
        <c:crossBetween val="midCat"/>
      </c:valAx>
      <c:valAx>
        <c:axId val="1272609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48868778280542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5900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65479027617063"/>
          <c:y val="6.7873303167420809E-2"/>
          <c:w val="0.84915043612767105"/>
          <c:h val="0.7239819004524886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'24-30'!$A$66:$A$85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36</c:v>
                </c:pt>
                <c:pt idx="8">
                  <c:v>38</c:v>
                </c:pt>
                <c:pt idx="9">
                  <c:v>40</c:v>
                </c:pt>
                <c:pt idx="10">
                  <c:v>42</c:v>
                </c:pt>
                <c:pt idx="11">
                  <c:v>44</c:v>
                </c:pt>
                <c:pt idx="12">
                  <c:v>46</c:v>
                </c:pt>
                <c:pt idx="13">
                  <c:v>48</c:v>
                </c:pt>
                <c:pt idx="14">
                  <c:v>50</c:v>
                </c:pt>
                <c:pt idx="15">
                  <c:v>52</c:v>
                </c:pt>
                <c:pt idx="16">
                  <c:v>56</c:v>
                </c:pt>
                <c:pt idx="17">
                  <c:v>58</c:v>
                </c:pt>
                <c:pt idx="18">
                  <c:v>60</c:v>
                </c:pt>
                <c:pt idx="19">
                  <c:v>62</c:v>
                </c:pt>
              </c:numCache>
            </c:numRef>
          </c:xVal>
          <c:yVal>
            <c:numRef>
              <c:f>'24-30'!$B$66:$B$85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1.0188799999999996</c:v>
                </c:pt>
                <c:pt idx="8">
                  <c:v>1.0023199999999999</c:v>
                </c:pt>
                <c:pt idx="9">
                  <c:v>0.96799999999999975</c:v>
                </c:pt>
                <c:pt idx="10">
                  <c:v>0.91591999999999918</c:v>
                </c:pt>
                <c:pt idx="11">
                  <c:v>0.8460799999999995</c:v>
                </c:pt>
                <c:pt idx="12">
                  <c:v>0.75847999999999938</c:v>
                </c:pt>
                <c:pt idx="13">
                  <c:v>0.65311999999999926</c:v>
                </c:pt>
                <c:pt idx="14">
                  <c:v>0.52999999999999914</c:v>
                </c:pt>
                <c:pt idx="15">
                  <c:v>0.36488000000000298</c:v>
                </c:pt>
                <c:pt idx="16">
                  <c:v>0.16792000000000407</c:v>
                </c:pt>
                <c:pt idx="17">
                  <c:v>9.6080000000000609E-2</c:v>
                </c:pt>
                <c:pt idx="18">
                  <c:v>4.2000000000001592E-2</c:v>
                </c:pt>
                <c:pt idx="19">
                  <c:v>5.6800000000016837E-3</c:v>
                </c:pt>
              </c:numCache>
            </c:numRef>
          </c:yVal>
        </c:ser>
        <c:axId val="124864384"/>
        <c:axId val="124887040"/>
      </c:scatterChart>
      <c:valAx>
        <c:axId val="124864384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4330910533831674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887040"/>
        <c:crosses val="autoZero"/>
        <c:crossBetween val="midCat"/>
      </c:valAx>
      <c:valAx>
        <c:axId val="12488704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48868778280542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86438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65479027617063"/>
          <c:y val="6.7873303167420809E-2"/>
          <c:w val="0.84915043612767105"/>
          <c:h val="0.71945701357466063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'24-30'!$A$95:$A$114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36</c:v>
                </c:pt>
                <c:pt idx="8">
                  <c:v>38</c:v>
                </c:pt>
                <c:pt idx="9">
                  <c:v>40</c:v>
                </c:pt>
                <c:pt idx="10">
                  <c:v>42</c:v>
                </c:pt>
                <c:pt idx="11">
                  <c:v>44</c:v>
                </c:pt>
                <c:pt idx="12">
                  <c:v>46</c:v>
                </c:pt>
                <c:pt idx="13">
                  <c:v>48</c:v>
                </c:pt>
                <c:pt idx="14">
                  <c:v>50</c:v>
                </c:pt>
                <c:pt idx="15">
                  <c:v>52</c:v>
                </c:pt>
                <c:pt idx="16">
                  <c:v>56</c:v>
                </c:pt>
                <c:pt idx="17">
                  <c:v>58</c:v>
                </c:pt>
                <c:pt idx="18">
                  <c:v>60</c:v>
                </c:pt>
                <c:pt idx="19">
                  <c:v>65</c:v>
                </c:pt>
              </c:numCache>
            </c:numRef>
          </c:xVal>
          <c:yVal>
            <c:numRef>
              <c:f>'24-30'!$B$95:$B$114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0.99151999999999996</c:v>
                </c:pt>
                <c:pt idx="8">
                  <c:v>0.97827999999999982</c:v>
                </c:pt>
                <c:pt idx="9">
                  <c:v>0.9520000000000004</c:v>
                </c:pt>
                <c:pt idx="10">
                  <c:v>0.91268000000000038</c:v>
                </c:pt>
                <c:pt idx="11">
                  <c:v>0.8603200000000002</c:v>
                </c:pt>
                <c:pt idx="12">
                  <c:v>0.79491999999999985</c:v>
                </c:pt>
                <c:pt idx="13">
                  <c:v>0.71648000000000067</c:v>
                </c:pt>
                <c:pt idx="14">
                  <c:v>0.625</c:v>
                </c:pt>
                <c:pt idx="15">
                  <c:v>0.49951999999999863</c:v>
                </c:pt>
                <c:pt idx="16">
                  <c:v>0.28767999999999994</c:v>
                </c:pt>
                <c:pt idx="17">
                  <c:v>0.20131999999999994</c:v>
                </c:pt>
                <c:pt idx="18">
                  <c:v>0.12799999999999923</c:v>
                </c:pt>
                <c:pt idx="19">
                  <c:v>1.7500000000003624E-3</c:v>
                </c:pt>
              </c:numCache>
            </c:numRef>
          </c:yVal>
        </c:ser>
        <c:axId val="124902784"/>
        <c:axId val="127284736"/>
      </c:scatterChart>
      <c:valAx>
        <c:axId val="124902784"/>
        <c:scaling>
          <c:orientation val="minMax"/>
          <c:max val="6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4330910533831674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84736"/>
        <c:crosses val="autoZero"/>
        <c:crossBetween val="midCat"/>
      </c:valAx>
      <c:valAx>
        <c:axId val="1272847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443438914027149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90278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62533651093111"/>
          <c:y val="6.7873303167420809E-2"/>
          <c:w val="0.83455186129453052"/>
          <c:h val="0.7013574660633483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'24-30'!$A$124:$A$146</c:f>
              <c:numCache>
                <c:formatCode>0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45</c:v>
                </c:pt>
                <c:pt idx="9">
                  <c:v>47</c:v>
                </c:pt>
                <c:pt idx="10">
                  <c:v>50</c:v>
                </c:pt>
                <c:pt idx="11">
                  <c:v>52</c:v>
                </c:pt>
                <c:pt idx="12">
                  <c:v>55</c:v>
                </c:pt>
                <c:pt idx="13">
                  <c:v>57</c:v>
                </c:pt>
                <c:pt idx="14">
                  <c:v>60</c:v>
                </c:pt>
                <c:pt idx="15">
                  <c:v>62</c:v>
                </c:pt>
                <c:pt idx="16">
                  <c:v>65</c:v>
                </c:pt>
                <c:pt idx="17">
                  <c:v>67</c:v>
                </c:pt>
                <c:pt idx="18">
                  <c:v>70</c:v>
                </c:pt>
                <c:pt idx="19">
                  <c:v>72</c:v>
                </c:pt>
                <c:pt idx="20">
                  <c:v>75</c:v>
                </c:pt>
                <c:pt idx="21">
                  <c:v>80</c:v>
                </c:pt>
                <c:pt idx="22">
                  <c:v>85</c:v>
                </c:pt>
              </c:numCache>
            </c:numRef>
          </c:xVal>
          <c:yVal>
            <c:numRef>
              <c:f>'24-30'!$B$124:$B$146</c:f>
              <c:numCache>
                <c:formatCode>0.000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0.98477499999999996</c:v>
                </c:pt>
                <c:pt idx="5">
                  <c:v>0.96899099999999982</c:v>
                </c:pt>
                <c:pt idx="6">
                  <c:v>0.93540000000000001</c:v>
                </c:pt>
                <c:pt idx="7">
                  <c:v>0.90639599999999998</c:v>
                </c:pt>
                <c:pt idx="8">
                  <c:v>0.85297500000000004</c:v>
                </c:pt>
                <c:pt idx="9">
                  <c:v>0.81075099999999978</c:v>
                </c:pt>
                <c:pt idx="10">
                  <c:v>0.73749999999999982</c:v>
                </c:pt>
                <c:pt idx="11">
                  <c:v>0.682056</c:v>
                </c:pt>
                <c:pt idx="12">
                  <c:v>0.58897500000000003</c:v>
                </c:pt>
                <c:pt idx="13">
                  <c:v>0.52031100000000019</c:v>
                </c:pt>
                <c:pt idx="14">
                  <c:v>0.43960000000000043</c:v>
                </c:pt>
                <c:pt idx="15">
                  <c:v>0.37688400000000044</c:v>
                </c:pt>
                <c:pt idx="16">
                  <c:v>0.2927249999999999</c:v>
                </c:pt>
                <c:pt idx="17">
                  <c:v>0.24322900000000036</c:v>
                </c:pt>
                <c:pt idx="18">
                  <c:v>0.1789000000000005</c:v>
                </c:pt>
                <c:pt idx="19">
                  <c:v>0.14262400000000053</c:v>
                </c:pt>
                <c:pt idx="20">
                  <c:v>9.8125000000000462E-2</c:v>
                </c:pt>
                <c:pt idx="21">
                  <c:v>5.0399999999999778E-2</c:v>
                </c:pt>
                <c:pt idx="22">
                  <c:v>3.5725000000001117E-2</c:v>
                </c:pt>
              </c:numCache>
            </c:numRef>
          </c:yVal>
        </c:ser>
        <c:axId val="127411712"/>
        <c:axId val="127413632"/>
      </c:scatterChart>
      <c:valAx>
        <c:axId val="127411712"/>
        <c:scaling>
          <c:orientation val="minMax"/>
          <c:max val="8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44039034079973766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413632"/>
        <c:crosses val="autoZero"/>
        <c:crossBetween val="midCat"/>
      </c:valAx>
      <c:valAx>
        <c:axId val="12741363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0769230769230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41171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414634146341464"/>
          <c:y val="6.7873303167420809E-2"/>
          <c:w val="0.8365853658536585"/>
          <c:h val="0.7013574660633483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'24-30'!$A$156:$A$176</c:f>
              <c:numCache>
                <c:formatCode>0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45</c:v>
                </c:pt>
                <c:pt idx="9">
                  <c:v>47</c:v>
                </c:pt>
                <c:pt idx="10">
                  <c:v>50</c:v>
                </c:pt>
                <c:pt idx="11">
                  <c:v>52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67</c:v>
                </c:pt>
                <c:pt idx="16">
                  <c:v>70</c:v>
                </c:pt>
                <c:pt idx="17">
                  <c:v>72</c:v>
                </c:pt>
                <c:pt idx="18">
                  <c:v>75</c:v>
                </c:pt>
                <c:pt idx="19">
                  <c:v>80</c:v>
                </c:pt>
                <c:pt idx="20">
                  <c:v>85</c:v>
                </c:pt>
              </c:numCache>
            </c:numRef>
          </c:xVal>
          <c:yVal>
            <c:numRef>
              <c:f>'24-30'!$B$156:$B$176</c:f>
              <c:numCache>
                <c:formatCode>0.000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0.98477499999999996</c:v>
                </c:pt>
                <c:pt idx="5">
                  <c:v>0.96899099999999982</c:v>
                </c:pt>
                <c:pt idx="6">
                  <c:v>0.93540000000000001</c:v>
                </c:pt>
                <c:pt idx="7">
                  <c:v>0.90639599999999998</c:v>
                </c:pt>
                <c:pt idx="8">
                  <c:v>0.85297500000000004</c:v>
                </c:pt>
                <c:pt idx="9">
                  <c:v>0.81075099999999978</c:v>
                </c:pt>
                <c:pt idx="10">
                  <c:v>0.73749999999999982</c:v>
                </c:pt>
                <c:pt idx="11">
                  <c:v>0.682056</c:v>
                </c:pt>
                <c:pt idx="12">
                  <c:v>0.58897500000000003</c:v>
                </c:pt>
                <c:pt idx="13">
                  <c:v>0.43960000000000043</c:v>
                </c:pt>
                <c:pt idx="14">
                  <c:v>0.2927249999999999</c:v>
                </c:pt>
                <c:pt idx="15">
                  <c:v>0.24322900000000036</c:v>
                </c:pt>
                <c:pt idx="16">
                  <c:v>0.1789000000000005</c:v>
                </c:pt>
                <c:pt idx="17">
                  <c:v>0.14262400000000053</c:v>
                </c:pt>
                <c:pt idx="18">
                  <c:v>9.8125000000000462E-2</c:v>
                </c:pt>
                <c:pt idx="19">
                  <c:v>5.0399999999999778E-2</c:v>
                </c:pt>
                <c:pt idx="20">
                  <c:v>3.5725000000001117E-2</c:v>
                </c:pt>
              </c:numCache>
            </c:numRef>
          </c:yVal>
        </c:ser>
        <c:axId val="127433728"/>
        <c:axId val="127452288"/>
      </c:scatterChart>
      <c:valAx>
        <c:axId val="127433728"/>
        <c:scaling>
          <c:orientation val="minMax"/>
          <c:max val="8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4390243902439024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452288"/>
        <c:crosses val="autoZero"/>
        <c:crossBetween val="midCat"/>
      </c:valAx>
      <c:valAx>
        <c:axId val="12745228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30769230769230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43372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82026930378768"/>
          <c:y val="6.7873303167420809E-2"/>
          <c:w val="0.82968566968348367"/>
          <c:h val="0.7013574660633483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'24-30'!$A$186:$A$204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'24-30'!$B$186:$B$204</c:f>
              <c:numCache>
                <c:formatCode>0.000</c:formatCode>
                <c:ptCount val="19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0.64999999999999991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0.44999999999999996</c:v>
                </c:pt>
                <c:pt idx="12">
                  <c:v>0.4</c:v>
                </c:pt>
                <c:pt idx="13">
                  <c:v>0.35</c:v>
                </c:pt>
                <c:pt idx="14">
                  <c:v>0.29999999999999993</c:v>
                </c:pt>
                <c:pt idx="15">
                  <c:v>0.25</c:v>
                </c:pt>
                <c:pt idx="16">
                  <c:v>0.19999999999999996</c:v>
                </c:pt>
                <c:pt idx="17">
                  <c:v>9.9999999999999978E-2</c:v>
                </c:pt>
                <c:pt idx="18">
                  <c:v>0</c:v>
                </c:pt>
              </c:numCache>
            </c:numRef>
          </c:yVal>
        </c:ser>
        <c:axId val="127484672"/>
        <c:axId val="127486592"/>
      </c:scatterChart>
      <c:valAx>
        <c:axId val="12748467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Leq dB(A)</a:t>
                </a:r>
              </a:p>
            </c:rich>
          </c:tx>
          <c:layout>
            <c:manualLayout>
              <c:xMode val="edge"/>
              <c:yMode val="edge"/>
              <c:x val="0.43552414918869087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486592"/>
        <c:crosses val="autoZero"/>
        <c:crossBetween val="midCat"/>
      </c:valAx>
      <c:valAx>
        <c:axId val="1274865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0769230769230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48467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756928026459912E-2"/>
          <c:y val="6.7567864793887225E-2"/>
          <c:w val="0.85888281934976463"/>
          <c:h val="0.69369674521724212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'31'!$A$8:$A$26</c:f>
              <c:numCache>
                <c:formatCode>General</c:formatCode>
                <c:ptCount val="19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80</c:v>
                </c:pt>
                <c:pt idx="18">
                  <c:v>100</c:v>
                </c:pt>
              </c:numCache>
            </c:numRef>
          </c:xVal>
          <c:yVal>
            <c:numRef>
              <c:f>'31'!$B$8:$B$26</c:f>
              <c:numCache>
                <c:formatCode>0.000</c:formatCode>
                <c:ptCount val="19"/>
                <c:pt idx="0">
                  <c:v>0</c:v>
                </c:pt>
                <c:pt idx="1">
                  <c:v>0.18000000000000016</c:v>
                </c:pt>
                <c:pt idx="2">
                  <c:v>0.3600000000000001</c:v>
                </c:pt>
                <c:pt idx="3">
                  <c:v>0.54</c:v>
                </c:pt>
                <c:pt idx="4">
                  <c:v>0.7200000000000002</c:v>
                </c:pt>
                <c:pt idx="5">
                  <c:v>0.90000000000000013</c:v>
                </c:pt>
                <c:pt idx="6">
                  <c:v>0.92</c:v>
                </c:pt>
                <c:pt idx="7">
                  <c:v>0.94</c:v>
                </c:pt>
                <c:pt idx="8">
                  <c:v>0.96</c:v>
                </c:pt>
                <c:pt idx="9">
                  <c:v>0.98</c:v>
                </c:pt>
                <c:pt idx="10">
                  <c:v>1</c:v>
                </c:pt>
                <c:pt idx="11">
                  <c:v>0.9</c:v>
                </c:pt>
                <c:pt idx="12">
                  <c:v>0.8</c:v>
                </c:pt>
                <c:pt idx="13">
                  <c:v>0.7</c:v>
                </c:pt>
                <c:pt idx="14">
                  <c:v>0.6</c:v>
                </c:pt>
                <c:pt idx="15">
                  <c:v>0.5</c:v>
                </c:pt>
                <c:pt idx="16">
                  <c:v>0.4</c:v>
                </c:pt>
                <c:pt idx="17">
                  <c:v>0.19999999999999996</c:v>
                </c:pt>
                <c:pt idx="18">
                  <c:v>0</c:v>
                </c:pt>
              </c:numCache>
            </c:numRef>
          </c:yVal>
          <c:smooth val="1"/>
        </c:ser>
        <c:axId val="125113088"/>
        <c:axId val="125115008"/>
      </c:scatterChart>
      <c:valAx>
        <c:axId val="125113088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338321496544004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115008"/>
        <c:crosses val="autoZero"/>
        <c:crossBetween val="midCat"/>
      </c:valAx>
      <c:valAx>
        <c:axId val="12511500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3063076537322887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11308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409291576546"/>
          <c:y val="6.7873303167420809E-2"/>
          <c:w val="0.83980682053865074"/>
          <c:h val="0.7058823529411765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'32-34'!$A$8:$A$25</c:f>
              <c:numCache>
                <c:formatCode>0.00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0.7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1</c:v>
                </c:pt>
              </c:numCache>
            </c:numRef>
          </c:xVal>
          <c:yVal>
            <c:numRef>
              <c:f>'32-34'!$B$8:$B$25</c:f>
              <c:numCache>
                <c:formatCode>0.000</c:formatCode>
                <c:ptCount val="18"/>
                <c:pt idx="0">
                  <c:v>0</c:v>
                </c:pt>
                <c:pt idx="1">
                  <c:v>6.8999999999999992E-2</c:v>
                </c:pt>
                <c:pt idx="2">
                  <c:v>0.13599999999999998</c:v>
                </c:pt>
                <c:pt idx="3">
                  <c:v>0.20100000000000001</c:v>
                </c:pt>
                <c:pt idx="4">
                  <c:v>0.26399999999999996</c:v>
                </c:pt>
                <c:pt idx="5">
                  <c:v>0.32499999999999996</c:v>
                </c:pt>
                <c:pt idx="6">
                  <c:v>0.38400000000000001</c:v>
                </c:pt>
                <c:pt idx="7">
                  <c:v>0.44099999999999995</c:v>
                </c:pt>
                <c:pt idx="8">
                  <c:v>0.49599999999999994</c:v>
                </c:pt>
                <c:pt idx="9">
                  <c:v>0.54899999999999993</c:v>
                </c:pt>
                <c:pt idx="10">
                  <c:v>0.59999999999999987</c:v>
                </c:pt>
                <c:pt idx="11">
                  <c:v>0.64899999999999991</c:v>
                </c:pt>
                <c:pt idx="12">
                  <c:v>0.69599999999999995</c:v>
                </c:pt>
                <c:pt idx="13">
                  <c:v>0.78399999999999992</c:v>
                </c:pt>
                <c:pt idx="14">
                  <c:v>0.86399999999999988</c:v>
                </c:pt>
                <c:pt idx="15">
                  <c:v>0.90100000000000002</c:v>
                </c:pt>
                <c:pt idx="16">
                  <c:v>0.93599999999999994</c:v>
                </c:pt>
                <c:pt idx="17">
                  <c:v>0.99999999999999989</c:v>
                </c:pt>
              </c:numCache>
            </c:numRef>
          </c:yVal>
        </c:ser>
        <c:axId val="125004800"/>
        <c:axId val="125006976"/>
      </c:scatterChart>
      <c:valAx>
        <c:axId val="125004800"/>
        <c:scaling>
          <c:orientation val="minMax"/>
          <c:max val="1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Grado de visibilidad</a:t>
                </a:r>
              </a:p>
            </c:rich>
          </c:tx>
          <c:layout>
            <c:manualLayout>
              <c:xMode val="edge"/>
              <c:yMode val="edge"/>
              <c:x val="0.41747622292672809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006976"/>
        <c:crosses val="autoZero"/>
        <c:crossBetween val="midCat"/>
        <c:majorUnit val="0.2"/>
        <c:minorUnit val="0.1"/>
      </c:valAx>
      <c:valAx>
        <c:axId val="12500697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35936712986281E-2"/>
              <c:y val="0.2714932126696832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00480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51219512195121"/>
          <c:y val="6.7567864793887225E-2"/>
          <c:w val="0.84878048780487803"/>
          <c:h val="0.72522841545438954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'32-34'!$A$35:$A$52</c:f>
              <c:numCache>
                <c:formatCode>0.00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0.7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1</c:v>
                </c:pt>
              </c:numCache>
            </c:numRef>
          </c:xVal>
          <c:yVal>
            <c:numRef>
              <c:f>'32-34'!$B$35:$B$52</c:f>
              <c:numCache>
                <c:formatCode>0.000</c:formatCode>
                <c:ptCount val="18"/>
                <c:pt idx="0">
                  <c:v>0</c:v>
                </c:pt>
                <c:pt idx="1">
                  <c:v>5.8777499999999996E-2</c:v>
                </c:pt>
                <c:pt idx="2">
                  <c:v>0.11610999999999999</c:v>
                </c:pt>
                <c:pt idx="3">
                  <c:v>0.17199750000000003</c:v>
                </c:pt>
                <c:pt idx="4">
                  <c:v>0.22643999999999997</c:v>
                </c:pt>
                <c:pt idx="5">
                  <c:v>0.27943750000000001</c:v>
                </c:pt>
                <c:pt idx="6">
                  <c:v>0.33099000000000001</c:v>
                </c:pt>
                <c:pt idx="7">
                  <c:v>0.38109749999999998</c:v>
                </c:pt>
                <c:pt idx="8">
                  <c:v>0.42975999999999992</c:v>
                </c:pt>
                <c:pt idx="9">
                  <c:v>0.4769775</c:v>
                </c:pt>
                <c:pt idx="10">
                  <c:v>0.52274999999999983</c:v>
                </c:pt>
                <c:pt idx="11">
                  <c:v>0.5670774999999999</c:v>
                </c:pt>
                <c:pt idx="12">
                  <c:v>0.60995999999999995</c:v>
                </c:pt>
                <c:pt idx="13">
                  <c:v>0.69138999999999995</c:v>
                </c:pt>
                <c:pt idx="14">
                  <c:v>0.76703999999999994</c:v>
                </c:pt>
                <c:pt idx="15">
                  <c:v>0.80269749999999984</c:v>
                </c:pt>
                <c:pt idx="16">
                  <c:v>0.83690999999999993</c:v>
                </c:pt>
                <c:pt idx="17">
                  <c:v>0.90100000000000002</c:v>
                </c:pt>
              </c:numCache>
            </c:numRef>
          </c:yVal>
        </c:ser>
        <c:axId val="125038976"/>
        <c:axId val="125040896"/>
      </c:scatterChart>
      <c:valAx>
        <c:axId val="125038976"/>
        <c:scaling>
          <c:orientation val="minMax"/>
          <c:max val="1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Grado de visibilidad</a:t>
                </a:r>
              </a:p>
            </c:rich>
          </c:tx>
          <c:layout>
            <c:manualLayout>
              <c:xMode val="edge"/>
              <c:yMode val="edge"/>
              <c:x val="0.41219512195121949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040896"/>
        <c:crosses val="autoZero"/>
        <c:crossBetween val="midCat"/>
        <c:majorUnit val="0.2"/>
        <c:minorUnit val="0.1"/>
      </c:valAx>
      <c:valAx>
        <c:axId val="12504089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792805078147338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03897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51219512195121"/>
          <c:y val="6.7567864793887225E-2"/>
          <c:w val="0.84878048780487803"/>
          <c:h val="0.72522841545438954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'32-34'!$A$62:$A$79</c:f>
              <c:numCache>
                <c:formatCode>0.00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0.8</c:v>
                </c:pt>
                <c:pt idx="16">
                  <c:v>0.9</c:v>
                </c:pt>
                <c:pt idx="17">
                  <c:v>1</c:v>
                </c:pt>
              </c:numCache>
            </c:numRef>
          </c:xVal>
          <c:yVal>
            <c:numRef>
              <c:f>'32-34'!$B$62:$B$79</c:f>
              <c:numCache>
                <c:formatCode>0.000</c:formatCode>
                <c:ptCount val="18"/>
                <c:pt idx="0">
                  <c:v>0</c:v>
                </c:pt>
                <c:pt idx="1">
                  <c:v>1.9500000000000003E-2</c:v>
                </c:pt>
                <c:pt idx="2">
                  <c:v>3.8000000000000006E-2</c:v>
                </c:pt>
                <c:pt idx="3">
                  <c:v>5.5500000000000008E-2</c:v>
                </c:pt>
                <c:pt idx="4">
                  <c:v>7.2000000000000008E-2</c:v>
                </c:pt>
                <c:pt idx="5">
                  <c:v>8.7500000000000008E-2</c:v>
                </c:pt>
                <c:pt idx="6">
                  <c:v>0.10199999999999999</c:v>
                </c:pt>
                <c:pt idx="7">
                  <c:v>0.11549999999999999</c:v>
                </c:pt>
                <c:pt idx="8">
                  <c:v>0.128</c:v>
                </c:pt>
                <c:pt idx="9">
                  <c:v>0.13950000000000001</c:v>
                </c:pt>
                <c:pt idx="10">
                  <c:v>0.15</c:v>
                </c:pt>
                <c:pt idx="11">
                  <c:v>0.15949999999999998</c:v>
                </c:pt>
                <c:pt idx="12">
                  <c:v>0.16799999999999998</c:v>
                </c:pt>
                <c:pt idx="13">
                  <c:v>0.17549999999999999</c:v>
                </c:pt>
                <c:pt idx="14">
                  <c:v>0.182</c:v>
                </c:pt>
                <c:pt idx="15">
                  <c:v>0.19200000000000003</c:v>
                </c:pt>
                <c:pt idx="16">
                  <c:v>0.19800000000000001</c:v>
                </c:pt>
                <c:pt idx="17">
                  <c:v>0.2</c:v>
                </c:pt>
              </c:numCache>
            </c:numRef>
          </c:yVal>
        </c:ser>
        <c:axId val="125204352"/>
        <c:axId val="125210624"/>
      </c:scatterChart>
      <c:valAx>
        <c:axId val="125204352"/>
        <c:scaling>
          <c:orientation val="minMax"/>
          <c:max val="1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Grado de visibilidad</a:t>
                </a:r>
              </a:p>
            </c:rich>
          </c:tx>
          <c:layout>
            <c:manualLayout>
              <c:xMode val="edge"/>
              <c:yMode val="edge"/>
              <c:x val="0.41219512195121949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210624"/>
        <c:crosses val="autoZero"/>
        <c:crossBetween val="midCat"/>
        <c:majorUnit val="0.2"/>
        <c:minorUnit val="0.1"/>
      </c:valAx>
      <c:valAx>
        <c:axId val="125210624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792805078147338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20435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68646091483453"/>
          <c:y val="6.8181969508987722E-2"/>
          <c:w val="0.82481947807243683"/>
          <c:h val="0.68636515972380974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'35-39'!$A$8:$A$30</c:f>
              <c:numCache>
                <c:formatCode>General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330</c:v>
                </c:pt>
                <c:pt idx="16">
                  <c:v>360</c:v>
                </c:pt>
                <c:pt idx="17">
                  <c:v>450</c:v>
                </c:pt>
                <c:pt idx="18">
                  <c:v>480</c:v>
                </c:pt>
                <c:pt idx="19">
                  <c:v>510</c:v>
                </c:pt>
                <c:pt idx="20">
                  <c:v>540</c:v>
                </c:pt>
                <c:pt idx="21">
                  <c:v>570</c:v>
                </c:pt>
                <c:pt idx="22">
                  <c:v>600</c:v>
                </c:pt>
              </c:numCache>
            </c:numRef>
          </c:xVal>
          <c:yVal>
            <c:numRef>
              <c:f>'35-39'!$B$8:$B$30</c:f>
              <c:numCache>
                <c:formatCode>0.000</c:formatCode>
                <c:ptCount val="23"/>
                <c:pt idx="0">
                  <c:v>1</c:v>
                </c:pt>
                <c:pt idx="1">
                  <c:v>0.88193999999999995</c:v>
                </c:pt>
                <c:pt idx="2">
                  <c:v>0.77776000000000001</c:v>
                </c:pt>
                <c:pt idx="3">
                  <c:v>0.68745999999999996</c:v>
                </c:pt>
                <c:pt idx="4">
                  <c:v>0.61104000000000003</c:v>
                </c:pt>
                <c:pt idx="5">
                  <c:v>0.54849999999999999</c:v>
                </c:pt>
                <c:pt idx="6">
                  <c:v>0.49984000000000006</c:v>
                </c:pt>
                <c:pt idx="7">
                  <c:v>0.44787399999999999</c:v>
                </c:pt>
                <c:pt idx="8">
                  <c:v>0.39937599999999995</c:v>
                </c:pt>
                <c:pt idx="9">
                  <c:v>0.35364999999999996</c:v>
                </c:pt>
                <c:pt idx="10">
                  <c:v>0.31069599999999997</c:v>
                </c:pt>
                <c:pt idx="11">
                  <c:v>0.27051399999999992</c:v>
                </c:pt>
                <c:pt idx="12">
                  <c:v>0.23310399999999998</c:v>
                </c:pt>
                <c:pt idx="13">
                  <c:v>0.19846599999999992</c:v>
                </c:pt>
                <c:pt idx="14">
                  <c:v>0.16659999999999991</c:v>
                </c:pt>
                <c:pt idx="15">
                  <c:v>0.13750600000000002</c:v>
                </c:pt>
                <c:pt idx="16">
                  <c:v>0.11118399999999995</c:v>
                </c:pt>
                <c:pt idx="17">
                  <c:v>4.8849999999999949E-2</c:v>
                </c:pt>
                <c:pt idx="18">
                  <c:v>3.3615999999999979E-2</c:v>
                </c:pt>
                <c:pt idx="19">
                  <c:v>2.1154000000000006E-2</c:v>
                </c:pt>
                <c:pt idx="20">
                  <c:v>1.1463999999999919E-2</c:v>
                </c:pt>
                <c:pt idx="21">
                  <c:v>4.545999999999939E-3</c:v>
                </c:pt>
                <c:pt idx="22">
                  <c:v>3.9999999999984492E-4</c:v>
                </c:pt>
              </c:numCache>
            </c:numRef>
          </c:yVal>
        </c:ser>
        <c:axId val="127541248"/>
        <c:axId val="127543168"/>
      </c:scatterChart>
      <c:valAx>
        <c:axId val="127541248"/>
        <c:scaling>
          <c:orientation val="minMax"/>
          <c:max val="6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Partículas en suspensión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1873555052356706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543168"/>
        <c:crosses val="autoZero"/>
        <c:crossBetween val="midCat"/>
      </c:valAx>
      <c:valAx>
        <c:axId val="127543168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8636404999123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54124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68646091483453"/>
          <c:y val="6.8181969508987722E-2"/>
          <c:w val="0.82481947807243683"/>
          <c:h val="0.68636515972380974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'35-39'!$A$40:$A$64</c:f>
              <c:numCache>
                <c:formatCode>General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90</c:v>
                </c:pt>
                <c:pt idx="10">
                  <c:v>120</c:v>
                </c:pt>
                <c:pt idx="11">
                  <c:v>150</c:v>
                </c:pt>
                <c:pt idx="12">
                  <c:v>180</c:v>
                </c:pt>
                <c:pt idx="13">
                  <c:v>210</c:v>
                </c:pt>
                <c:pt idx="14">
                  <c:v>240</c:v>
                </c:pt>
                <c:pt idx="15">
                  <c:v>270</c:v>
                </c:pt>
                <c:pt idx="16">
                  <c:v>300</c:v>
                </c:pt>
                <c:pt idx="17">
                  <c:v>330</c:v>
                </c:pt>
                <c:pt idx="18">
                  <c:v>360</c:v>
                </c:pt>
                <c:pt idx="19">
                  <c:v>450</c:v>
                </c:pt>
                <c:pt idx="20">
                  <c:v>480</c:v>
                </c:pt>
                <c:pt idx="21">
                  <c:v>510</c:v>
                </c:pt>
                <c:pt idx="22">
                  <c:v>540</c:v>
                </c:pt>
                <c:pt idx="23">
                  <c:v>570</c:v>
                </c:pt>
                <c:pt idx="24">
                  <c:v>600</c:v>
                </c:pt>
              </c:numCache>
            </c:numRef>
          </c:xVal>
          <c:yVal>
            <c:numRef>
              <c:f>'35-39'!$B$40:$B$64</c:f>
              <c:numCache>
                <c:formatCode>0.000</c:formatCode>
                <c:ptCount val="25"/>
                <c:pt idx="0">
                  <c:v>1</c:v>
                </c:pt>
                <c:pt idx="1">
                  <c:v>0.88193999999999995</c:v>
                </c:pt>
                <c:pt idx="2">
                  <c:v>0.77776000000000001</c:v>
                </c:pt>
                <c:pt idx="3">
                  <c:v>0.68745999999999996</c:v>
                </c:pt>
                <c:pt idx="4">
                  <c:v>0.61104000000000003</c:v>
                </c:pt>
                <c:pt idx="5">
                  <c:v>0.57803500000000008</c:v>
                </c:pt>
                <c:pt idx="6">
                  <c:v>0.54849999999999999</c:v>
                </c:pt>
                <c:pt idx="7">
                  <c:v>0.52243499999999998</c:v>
                </c:pt>
                <c:pt idx="8">
                  <c:v>0.49984000000000006</c:v>
                </c:pt>
                <c:pt idx="9">
                  <c:v>0.44787399999999999</c:v>
                </c:pt>
                <c:pt idx="10">
                  <c:v>0.39937599999999995</c:v>
                </c:pt>
                <c:pt idx="11">
                  <c:v>0.35364999999999996</c:v>
                </c:pt>
                <c:pt idx="12">
                  <c:v>0.31069599999999997</c:v>
                </c:pt>
                <c:pt idx="13">
                  <c:v>0.27051399999999992</c:v>
                </c:pt>
                <c:pt idx="14">
                  <c:v>0.23310399999999998</c:v>
                </c:pt>
                <c:pt idx="15">
                  <c:v>0.19846599999999992</c:v>
                </c:pt>
                <c:pt idx="16">
                  <c:v>0.16659999999999991</c:v>
                </c:pt>
                <c:pt idx="17">
                  <c:v>0.13750600000000002</c:v>
                </c:pt>
                <c:pt idx="18">
                  <c:v>0.11118399999999995</c:v>
                </c:pt>
                <c:pt idx="19">
                  <c:v>4.8849999999999949E-2</c:v>
                </c:pt>
                <c:pt idx="20">
                  <c:v>3.3615999999999979E-2</c:v>
                </c:pt>
                <c:pt idx="21">
                  <c:v>2.1154000000000006E-2</c:v>
                </c:pt>
                <c:pt idx="22">
                  <c:v>1.1463999999999919E-2</c:v>
                </c:pt>
                <c:pt idx="23">
                  <c:v>4.545999999999939E-3</c:v>
                </c:pt>
                <c:pt idx="24">
                  <c:v>3.9999999999984492E-4</c:v>
                </c:pt>
              </c:numCache>
            </c:numRef>
          </c:yVal>
        </c:ser>
        <c:axId val="127579648"/>
        <c:axId val="127581568"/>
      </c:scatterChart>
      <c:valAx>
        <c:axId val="127579648"/>
        <c:scaling>
          <c:orientation val="minMax"/>
          <c:max val="6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Partículas en suspensión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1873555052356706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581568"/>
        <c:crosses val="autoZero"/>
        <c:crossBetween val="midCat"/>
      </c:valAx>
      <c:valAx>
        <c:axId val="127581568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8636404999123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57964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68646091483453"/>
          <c:y val="6.8181969508987722E-2"/>
          <c:w val="0.82481947807243683"/>
          <c:h val="0.68636515972380974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'35-39'!$A$74:$A$98</c:f>
              <c:numCache>
                <c:formatCode>General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90</c:v>
                </c:pt>
                <c:pt idx="10">
                  <c:v>120</c:v>
                </c:pt>
                <c:pt idx="11">
                  <c:v>150</c:v>
                </c:pt>
                <c:pt idx="12">
                  <c:v>180</c:v>
                </c:pt>
                <c:pt idx="13">
                  <c:v>210</c:v>
                </c:pt>
                <c:pt idx="14">
                  <c:v>240</c:v>
                </c:pt>
                <c:pt idx="15">
                  <c:v>270</c:v>
                </c:pt>
                <c:pt idx="16">
                  <c:v>300</c:v>
                </c:pt>
                <c:pt idx="17">
                  <c:v>330</c:v>
                </c:pt>
                <c:pt idx="18">
                  <c:v>360</c:v>
                </c:pt>
                <c:pt idx="19">
                  <c:v>450</c:v>
                </c:pt>
                <c:pt idx="20">
                  <c:v>480</c:v>
                </c:pt>
                <c:pt idx="21">
                  <c:v>510</c:v>
                </c:pt>
                <c:pt idx="22">
                  <c:v>540</c:v>
                </c:pt>
                <c:pt idx="23">
                  <c:v>570</c:v>
                </c:pt>
                <c:pt idx="24">
                  <c:v>600</c:v>
                </c:pt>
              </c:numCache>
            </c:numRef>
          </c:xVal>
          <c:yVal>
            <c:numRef>
              <c:f>'35-39'!$B$74:$B$98</c:f>
              <c:numCache>
                <c:formatCode>0.000</c:formatCode>
                <c:ptCount val="25"/>
                <c:pt idx="0">
                  <c:v>1</c:v>
                </c:pt>
                <c:pt idx="1">
                  <c:v>0.88193999999999995</c:v>
                </c:pt>
                <c:pt idx="2">
                  <c:v>0.77776000000000001</c:v>
                </c:pt>
                <c:pt idx="3">
                  <c:v>0.68745999999999996</c:v>
                </c:pt>
                <c:pt idx="4">
                  <c:v>0.61104000000000003</c:v>
                </c:pt>
                <c:pt idx="5">
                  <c:v>0.57803500000000008</c:v>
                </c:pt>
                <c:pt idx="6">
                  <c:v>0.54849999999999999</c:v>
                </c:pt>
                <c:pt idx="7">
                  <c:v>0.52243499999999998</c:v>
                </c:pt>
                <c:pt idx="8">
                  <c:v>0.49984000000000006</c:v>
                </c:pt>
                <c:pt idx="9">
                  <c:v>0.44787399999999999</c:v>
                </c:pt>
                <c:pt idx="10">
                  <c:v>0.39937599999999995</c:v>
                </c:pt>
                <c:pt idx="11">
                  <c:v>0.35364999999999996</c:v>
                </c:pt>
                <c:pt idx="12">
                  <c:v>0.31069599999999997</c:v>
                </c:pt>
                <c:pt idx="13">
                  <c:v>0.27051399999999992</c:v>
                </c:pt>
                <c:pt idx="14">
                  <c:v>0.23310399999999998</c:v>
                </c:pt>
                <c:pt idx="15">
                  <c:v>0.19846599999999992</c:v>
                </c:pt>
                <c:pt idx="16">
                  <c:v>0.16659999999999991</c:v>
                </c:pt>
                <c:pt idx="17">
                  <c:v>0.13750600000000002</c:v>
                </c:pt>
                <c:pt idx="18">
                  <c:v>0.11118399999999995</c:v>
                </c:pt>
                <c:pt idx="19">
                  <c:v>4.8849999999999949E-2</c:v>
                </c:pt>
                <c:pt idx="20">
                  <c:v>3.3615999999999979E-2</c:v>
                </c:pt>
                <c:pt idx="21">
                  <c:v>2.1154000000000006E-2</c:v>
                </c:pt>
                <c:pt idx="22">
                  <c:v>1.1463999999999919E-2</c:v>
                </c:pt>
                <c:pt idx="23">
                  <c:v>4.545999999999939E-3</c:v>
                </c:pt>
                <c:pt idx="24">
                  <c:v>3.9999999999984492E-4</c:v>
                </c:pt>
              </c:numCache>
            </c:numRef>
          </c:yVal>
        </c:ser>
        <c:axId val="127630336"/>
        <c:axId val="127652992"/>
      </c:scatterChart>
      <c:valAx>
        <c:axId val="127630336"/>
        <c:scaling>
          <c:orientation val="minMax"/>
          <c:max val="6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Partículas en suspensión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1873555052356706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652992"/>
        <c:crosses val="autoZero"/>
        <c:crossBetween val="midCat"/>
      </c:valAx>
      <c:valAx>
        <c:axId val="127652992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8636404999123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63033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34967852804361"/>
          <c:y val="6.7873303167420809E-2"/>
          <c:w val="0.82524369648306717"/>
          <c:h val="0.6877828054298642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'35-39'!$A$108:$A$124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70</c:v>
                </c:pt>
                <c:pt idx="14">
                  <c:v>80</c:v>
                </c:pt>
                <c:pt idx="15">
                  <c:v>90</c:v>
                </c:pt>
                <c:pt idx="16">
                  <c:v>100</c:v>
                </c:pt>
              </c:numCache>
            </c:numRef>
          </c:xVal>
          <c:yVal>
            <c:numRef>
              <c:f>'35-39'!$B$108:$B$124</c:f>
              <c:numCache>
                <c:formatCode>0.000</c:formatCode>
                <c:ptCount val="17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0.64999999999999991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0.44999999999999996</c:v>
                </c:pt>
                <c:pt idx="12">
                  <c:v>0.4</c:v>
                </c:pt>
                <c:pt idx="13">
                  <c:v>0.29999999999999993</c:v>
                </c:pt>
                <c:pt idx="14">
                  <c:v>0.19999999999999996</c:v>
                </c:pt>
                <c:pt idx="15">
                  <c:v>9.9999999999999978E-2</c:v>
                </c:pt>
                <c:pt idx="16">
                  <c:v>0</c:v>
                </c:pt>
              </c:numCache>
            </c:numRef>
          </c:yVal>
        </c:ser>
        <c:axId val="127701760"/>
        <c:axId val="127703680"/>
      </c:scatterChart>
      <c:valAx>
        <c:axId val="127701760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398121537139642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703680"/>
        <c:crosses val="autoZero"/>
        <c:crossBetween val="midCat"/>
      </c:valAx>
      <c:valAx>
        <c:axId val="127703680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35936712986281E-2"/>
              <c:y val="0.190045248868778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70176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68646091483453"/>
          <c:y val="6.7567864793887225E-2"/>
          <c:w val="0.8321187654890071"/>
          <c:h val="0.68919222089764964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'35-39'!$A$134:$A$153</c:f>
              <c:numCache>
                <c:formatCode>0.0</c:formatCode>
                <c:ptCount val="2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</c:numCache>
            </c:numRef>
          </c:xVal>
          <c:yVal>
            <c:numRef>
              <c:f>'35-39'!$B$134:$B$153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0.99740000000000006</c:v>
                </c:pt>
                <c:pt idx="7">
                  <c:v>0.98865000000000003</c:v>
                </c:pt>
                <c:pt idx="8">
                  <c:v>0.97400000000000009</c:v>
                </c:pt>
                <c:pt idx="9">
                  <c:v>0.95345000000000013</c:v>
                </c:pt>
                <c:pt idx="10">
                  <c:v>0.92700000000000005</c:v>
                </c:pt>
                <c:pt idx="11">
                  <c:v>0.89465000000000006</c:v>
                </c:pt>
                <c:pt idx="12">
                  <c:v>0.85640000000000005</c:v>
                </c:pt>
                <c:pt idx="13">
                  <c:v>0.81225000000000014</c:v>
                </c:pt>
                <c:pt idx="14">
                  <c:v>0.7622000000000001</c:v>
                </c:pt>
                <c:pt idx="15">
                  <c:v>0.64440000000000008</c:v>
                </c:pt>
                <c:pt idx="16">
                  <c:v>0.57665</c:v>
                </c:pt>
                <c:pt idx="17">
                  <c:v>0.50300000000000011</c:v>
                </c:pt>
                <c:pt idx="18">
                  <c:v>0.2641</c:v>
                </c:pt>
                <c:pt idx="19">
                  <c:v>0</c:v>
                </c:pt>
              </c:numCache>
            </c:numRef>
          </c:yVal>
        </c:ser>
        <c:axId val="127719680"/>
        <c:axId val="127742336"/>
      </c:scatterChart>
      <c:valAx>
        <c:axId val="127719680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-2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dia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48418606529915909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742336"/>
        <c:crosses val="autoZero"/>
        <c:crossBetween val="midCat"/>
      </c:valAx>
      <c:valAx>
        <c:axId val="12774233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189190021422884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71968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62533651093111"/>
          <c:y val="6.7567864793887225E-2"/>
          <c:w val="0.84185114871110078"/>
          <c:h val="0.6846876965780571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'40'!$A$8:$A$29</c:f>
              <c:numCache>
                <c:formatCode>0.0</c:formatCode>
                <c:ptCount val="22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1.3</c:v>
                </c:pt>
                <c:pt idx="6">
                  <c:v>1.6</c:v>
                </c:pt>
                <c:pt idx="7">
                  <c:v>1.9000000000000001</c:v>
                </c:pt>
                <c:pt idx="8">
                  <c:v>2.2000000000000002</c:v>
                </c:pt>
                <c:pt idx="9">
                  <c:v>2.5</c:v>
                </c:pt>
                <c:pt idx="10">
                  <c:v>2.8</c:v>
                </c:pt>
                <c:pt idx="11">
                  <c:v>3.0999999999999996</c:v>
                </c:pt>
                <c:pt idx="12">
                  <c:v>3.3999999999999995</c:v>
                </c:pt>
                <c:pt idx="13">
                  <c:v>3.6999999999999993</c:v>
                </c:pt>
                <c:pt idx="14">
                  <c:v>3.9999999999999991</c:v>
                </c:pt>
                <c:pt idx="15">
                  <c:v>4.2999999999999989</c:v>
                </c:pt>
                <c:pt idx="16">
                  <c:v>4.5999999999999988</c:v>
                </c:pt>
                <c:pt idx="17">
                  <c:v>4.8999999999999986</c:v>
                </c:pt>
                <c:pt idx="18">
                  <c:v>5.1999999999999984</c:v>
                </c:pt>
                <c:pt idx="19">
                  <c:v>5.4999999999999982</c:v>
                </c:pt>
                <c:pt idx="20">
                  <c:v>5.799999999999998</c:v>
                </c:pt>
                <c:pt idx="21">
                  <c:v>6</c:v>
                </c:pt>
              </c:numCache>
            </c:numRef>
          </c:xVal>
          <c:yVal>
            <c:numRef>
              <c:f>'40'!$B$8:$B$29</c:f>
              <c:numCache>
                <c:formatCode>0.000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0.92499999999999993</c:v>
                </c:pt>
                <c:pt idx="9">
                  <c:v>0.8125</c:v>
                </c:pt>
                <c:pt idx="10">
                  <c:v>0.70000000000000018</c:v>
                </c:pt>
                <c:pt idx="11">
                  <c:v>0.58750000000000013</c:v>
                </c:pt>
                <c:pt idx="12">
                  <c:v>0.47500000000000009</c:v>
                </c:pt>
                <c:pt idx="13">
                  <c:v>0.36250000000000027</c:v>
                </c:pt>
                <c:pt idx="14">
                  <c:v>0.25000000000000011</c:v>
                </c:pt>
                <c:pt idx="15">
                  <c:v>0.21250000000000013</c:v>
                </c:pt>
                <c:pt idx="16">
                  <c:v>0.17500000000000016</c:v>
                </c:pt>
                <c:pt idx="17">
                  <c:v>0.13750000000000018</c:v>
                </c:pt>
                <c:pt idx="18">
                  <c:v>0.1000000000000002</c:v>
                </c:pt>
                <c:pt idx="19">
                  <c:v>6.2500000000000222E-2</c:v>
                </c:pt>
                <c:pt idx="20">
                  <c:v>2.5000000000000244E-2</c:v>
                </c:pt>
                <c:pt idx="21">
                  <c:v>0</c:v>
                </c:pt>
              </c:numCache>
            </c:numRef>
          </c:yVal>
        </c:ser>
        <c:axId val="127774080"/>
        <c:axId val="127776256"/>
      </c:scatterChart>
      <c:valAx>
        <c:axId val="127774080"/>
        <c:scaling>
          <c:orientation val="minMax"/>
          <c:max val="6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Rango</a:t>
                </a:r>
              </a:p>
            </c:rich>
          </c:tx>
          <c:layout>
            <c:manualLayout>
              <c:xMode val="edge"/>
              <c:yMode val="edge"/>
              <c:x val="0.47202058627154203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776256"/>
        <c:crosses val="autoZero"/>
        <c:crossBetween val="midCat"/>
      </c:valAx>
      <c:valAx>
        <c:axId val="12777625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7027145917554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77408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085193994245158"/>
          <c:y val="6.7873303167420809E-2"/>
          <c:w val="0.82725257387796025"/>
          <c:h val="0.6923076923076922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'41-44'!$A$8:$A$24</c:f>
              <c:numCache>
                <c:formatCode>0.0</c:formatCode>
                <c:ptCount val="1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1.4</c:v>
                </c:pt>
                <c:pt idx="14">
                  <c:v>1.6</c:v>
                </c:pt>
                <c:pt idx="15">
                  <c:v>1.8</c:v>
                </c:pt>
                <c:pt idx="16">
                  <c:v>2</c:v>
                </c:pt>
              </c:numCache>
            </c:numRef>
          </c:xVal>
          <c:yVal>
            <c:numRef>
              <c:f>'41-44'!$B$8:$B$24</c:f>
              <c:numCache>
                <c:formatCode>0.000</c:formatCode>
                <c:ptCount val="17"/>
                <c:pt idx="0">
                  <c:v>1</c:v>
                </c:pt>
                <c:pt idx="1">
                  <c:v>0.99553999999999998</c:v>
                </c:pt>
                <c:pt idx="2">
                  <c:v>0.98216000000000003</c:v>
                </c:pt>
                <c:pt idx="3">
                  <c:v>0.95986000000000005</c:v>
                </c:pt>
                <c:pt idx="4">
                  <c:v>0.92864000000000002</c:v>
                </c:pt>
                <c:pt idx="5">
                  <c:v>0.88849999999999996</c:v>
                </c:pt>
                <c:pt idx="6">
                  <c:v>0.83943999999999996</c:v>
                </c:pt>
                <c:pt idx="7">
                  <c:v>0.78580000000000005</c:v>
                </c:pt>
                <c:pt idx="8">
                  <c:v>0.72519999999999996</c:v>
                </c:pt>
                <c:pt idx="9">
                  <c:v>0.66459999999999997</c:v>
                </c:pt>
                <c:pt idx="10">
                  <c:v>0.60399999999999998</c:v>
                </c:pt>
                <c:pt idx="11">
                  <c:v>0.54339999999999988</c:v>
                </c:pt>
                <c:pt idx="12">
                  <c:v>0.48280000000000001</c:v>
                </c:pt>
                <c:pt idx="13">
                  <c:v>0.37052000000000018</c:v>
                </c:pt>
                <c:pt idx="14">
                  <c:v>0.30272000000000032</c:v>
                </c:pt>
                <c:pt idx="15">
                  <c:v>0.26188000000000011</c:v>
                </c:pt>
                <c:pt idx="16">
                  <c:v>0.248</c:v>
                </c:pt>
              </c:numCache>
            </c:numRef>
          </c:yVal>
        </c:ser>
        <c:axId val="125048320"/>
        <c:axId val="125050240"/>
      </c:scatterChart>
      <c:valAx>
        <c:axId val="125048320"/>
        <c:scaling>
          <c:orientation val="minMax"/>
          <c:max val="2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Pb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793198736881123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050240"/>
        <c:crosses val="autoZero"/>
        <c:crossBetween val="midCat"/>
      </c:valAx>
      <c:valAx>
        <c:axId val="12505024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0769230769230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048320"/>
        <c:crosses val="autoZero"/>
        <c:crossBetween val="midCat"/>
        <c:majorUnit val="0.2"/>
        <c:minorUnit val="6.4000000000000001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085193994245158"/>
          <c:y val="6.7873303167420809E-2"/>
          <c:w val="0.81752019065586667"/>
          <c:h val="0.6923076923076922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'41-44'!$A$34:$A$52</c:f>
              <c:numCache>
                <c:formatCode>0.0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'41-44'!$B$34:$B$52</c:f>
              <c:numCache>
                <c:formatCode>0.000</c:formatCode>
                <c:ptCount val="19"/>
                <c:pt idx="0">
                  <c:v>1</c:v>
                </c:pt>
                <c:pt idx="1">
                  <c:v>0.99553999999999998</c:v>
                </c:pt>
                <c:pt idx="2">
                  <c:v>0.98216000000000003</c:v>
                </c:pt>
                <c:pt idx="3">
                  <c:v>0.95986000000000005</c:v>
                </c:pt>
                <c:pt idx="4">
                  <c:v>0.92864000000000002</c:v>
                </c:pt>
                <c:pt idx="5">
                  <c:v>0.88849999999999996</c:v>
                </c:pt>
                <c:pt idx="6">
                  <c:v>0.83943999999999996</c:v>
                </c:pt>
                <c:pt idx="7">
                  <c:v>0.78580000000000005</c:v>
                </c:pt>
                <c:pt idx="8">
                  <c:v>0.72519999999999996</c:v>
                </c:pt>
                <c:pt idx="9">
                  <c:v>0.66459999999999997</c:v>
                </c:pt>
                <c:pt idx="10">
                  <c:v>0.60399999999999998</c:v>
                </c:pt>
                <c:pt idx="11">
                  <c:v>0.54339999999999988</c:v>
                </c:pt>
                <c:pt idx="12">
                  <c:v>0.48280000000000001</c:v>
                </c:pt>
                <c:pt idx="13">
                  <c:v>0.37052000000000018</c:v>
                </c:pt>
                <c:pt idx="14">
                  <c:v>0.33324999999999982</c:v>
                </c:pt>
                <c:pt idx="15">
                  <c:v>0.30272000000000032</c:v>
                </c:pt>
                <c:pt idx="16">
                  <c:v>0.26188000000000011</c:v>
                </c:pt>
                <c:pt idx="17">
                  <c:v>0.25157000000000007</c:v>
                </c:pt>
                <c:pt idx="18">
                  <c:v>0.248</c:v>
                </c:pt>
              </c:numCache>
            </c:numRef>
          </c:yVal>
        </c:ser>
        <c:axId val="125092224"/>
        <c:axId val="125094144"/>
      </c:scatterChart>
      <c:valAx>
        <c:axId val="125092224"/>
        <c:scaling>
          <c:orientation val="minMax"/>
          <c:max val="2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Pb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744536820770654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094144"/>
        <c:crosses val="autoZero"/>
        <c:crossBetween val="midCat"/>
      </c:valAx>
      <c:valAx>
        <c:axId val="12509414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0769230769230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092224"/>
        <c:crosses val="autoZero"/>
        <c:crossBetween val="midCat"/>
        <c:majorUnit val="0.2"/>
        <c:minorUnit val="6.4000000000000001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085193994245158"/>
          <c:y val="6.7873303167420809E-2"/>
          <c:w val="0.81752019065586667"/>
          <c:h val="0.6923076923076922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'41-44'!$A$62:$A$80</c:f>
              <c:numCache>
                <c:formatCode>0.0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'41-44'!$B$62:$B$80</c:f>
              <c:numCache>
                <c:formatCode>0.000</c:formatCode>
                <c:ptCount val="19"/>
                <c:pt idx="0">
                  <c:v>1</c:v>
                </c:pt>
                <c:pt idx="1">
                  <c:v>0.99553999999999998</c:v>
                </c:pt>
                <c:pt idx="2">
                  <c:v>0.98216000000000003</c:v>
                </c:pt>
                <c:pt idx="3">
                  <c:v>0.95986000000000005</c:v>
                </c:pt>
                <c:pt idx="4">
                  <c:v>0.92864000000000002</c:v>
                </c:pt>
                <c:pt idx="5">
                  <c:v>0.88849999999999996</c:v>
                </c:pt>
                <c:pt idx="6">
                  <c:v>0.83943999999999996</c:v>
                </c:pt>
                <c:pt idx="7">
                  <c:v>0.78580000000000005</c:v>
                </c:pt>
                <c:pt idx="8">
                  <c:v>0.72519999999999996</c:v>
                </c:pt>
                <c:pt idx="9">
                  <c:v>0.66459999999999997</c:v>
                </c:pt>
                <c:pt idx="10">
                  <c:v>0.60399999999999998</c:v>
                </c:pt>
                <c:pt idx="11">
                  <c:v>0.54339999999999988</c:v>
                </c:pt>
                <c:pt idx="12">
                  <c:v>0.48280000000000001</c:v>
                </c:pt>
                <c:pt idx="13">
                  <c:v>0.37052000000000018</c:v>
                </c:pt>
                <c:pt idx="14">
                  <c:v>0.33324999999999982</c:v>
                </c:pt>
                <c:pt idx="15">
                  <c:v>0.30272000000000032</c:v>
                </c:pt>
                <c:pt idx="16">
                  <c:v>0.26188000000000011</c:v>
                </c:pt>
                <c:pt idx="17">
                  <c:v>0.25157000000000007</c:v>
                </c:pt>
                <c:pt idx="18">
                  <c:v>0.248</c:v>
                </c:pt>
              </c:numCache>
            </c:numRef>
          </c:yVal>
        </c:ser>
        <c:axId val="125322752"/>
        <c:axId val="125324672"/>
      </c:scatterChart>
      <c:valAx>
        <c:axId val="125322752"/>
        <c:scaling>
          <c:orientation val="minMax"/>
          <c:max val="2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Pb (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744536820770654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24672"/>
        <c:crosses val="autoZero"/>
        <c:crossBetween val="midCat"/>
      </c:valAx>
      <c:valAx>
        <c:axId val="12532467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0769230769230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22752"/>
        <c:crosses val="autoZero"/>
        <c:crossBetween val="midCat"/>
        <c:majorUnit val="0.2"/>
        <c:minorUnit val="6.4000000000000001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085193994245158"/>
          <c:y val="6.7567864793887225E-2"/>
          <c:w val="0.81265399904481983"/>
          <c:h val="0.6936967452172421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'41-44'!$A$90:$A$107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80</c:v>
                </c:pt>
                <c:pt idx="16">
                  <c:v>90</c:v>
                </c:pt>
                <c:pt idx="17">
                  <c:v>100</c:v>
                </c:pt>
              </c:numCache>
            </c:numRef>
          </c:xVal>
          <c:yVal>
            <c:numRef>
              <c:f>'41-44'!$B$90:$B$107</c:f>
              <c:numCache>
                <c:formatCode>0.000</c:formatCode>
                <c:ptCount val="18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0.64999999999999991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0.44999999999999996</c:v>
                </c:pt>
                <c:pt idx="12">
                  <c:v>0.4</c:v>
                </c:pt>
                <c:pt idx="13">
                  <c:v>0.35</c:v>
                </c:pt>
                <c:pt idx="14">
                  <c:v>0.29999999999999993</c:v>
                </c:pt>
                <c:pt idx="15">
                  <c:v>0.19999999999999996</c:v>
                </c:pt>
                <c:pt idx="16">
                  <c:v>9.9999999999999978E-2</c:v>
                </c:pt>
                <c:pt idx="17">
                  <c:v>0</c:v>
                </c:pt>
              </c:numCache>
            </c:numRef>
          </c:yVal>
        </c:ser>
        <c:axId val="125360768"/>
        <c:axId val="127795968"/>
      </c:scatterChart>
      <c:valAx>
        <c:axId val="12536076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284798140962741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795968"/>
        <c:crosses val="autoZero"/>
        <c:crossBetween val="midCat"/>
      </c:valAx>
      <c:valAx>
        <c:axId val="12779596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34235264618809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60768"/>
        <c:crosses val="autoZero"/>
        <c:crossBetween val="midCat"/>
        <c:majorUnit val="0.2"/>
        <c:minorUnit val="6.4000000000000001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.xml"/><Relationship Id="rId7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6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2.xml"/><Relationship Id="rId7" Type="http://schemas.openxmlformats.org/officeDocument/2006/relationships/chart" Target="../charts/chart15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image" Target="../media/image4.emf"/><Relationship Id="rId5" Type="http://schemas.openxmlformats.org/officeDocument/2006/relationships/chart" Target="../charts/chart14.xml"/><Relationship Id="rId10" Type="http://schemas.openxmlformats.org/officeDocument/2006/relationships/image" Target="../media/image7.emf"/><Relationship Id="rId4" Type="http://schemas.openxmlformats.org/officeDocument/2006/relationships/chart" Target="../charts/chart13.xml"/><Relationship Id="rId9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image" Target="../media/image10.emf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4.xml"/><Relationship Id="rId7" Type="http://schemas.openxmlformats.org/officeDocument/2006/relationships/image" Target="../media/image12.emf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image" Target="../media/image11.emf"/><Relationship Id="rId5" Type="http://schemas.openxmlformats.org/officeDocument/2006/relationships/chart" Target="../charts/chart26.xml"/><Relationship Id="rId10" Type="http://schemas.openxmlformats.org/officeDocument/2006/relationships/image" Target="../media/image13.emf"/><Relationship Id="rId4" Type="http://schemas.openxmlformats.org/officeDocument/2006/relationships/chart" Target="../charts/chart25.xml"/><Relationship Id="rId9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3" Type="http://schemas.openxmlformats.org/officeDocument/2006/relationships/chart" Target="../charts/chart31.xml"/><Relationship Id="rId7" Type="http://schemas.openxmlformats.org/officeDocument/2006/relationships/chart" Target="../charts/chart34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4.emf"/><Relationship Id="rId11" Type="http://schemas.openxmlformats.org/officeDocument/2006/relationships/chart" Target="../charts/chart36.xml"/><Relationship Id="rId5" Type="http://schemas.openxmlformats.org/officeDocument/2006/relationships/chart" Target="../charts/chart33.xml"/><Relationship Id="rId10" Type="http://schemas.openxmlformats.org/officeDocument/2006/relationships/image" Target="../media/image16.emf"/><Relationship Id="rId4" Type="http://schemas.openxmlformats.org/officeDocument/2006/relationships/chart" Target="../charts/chart32.xml"/><Relationship Id="rId9" Type="http://schemas.openxmlformats.org/officeDocument/2006/relationships/chart" Target="../charts/chart3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chart" Target="../charts/chart3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chart" Target="../charts/chart42.xml"/><Relationship Id="rId7" Type="http://schemas.openxmlformats.org/officeDocument/2006/relationships/chart" Target="../charts/chart44.xml"/><Relationship Id="rId2" Type="http://schemas.openxmlformats.org/officeDocument/2006/relationships/image" Target="../media/image18.emf"/><Relationship Id="rId1" Type="http://schemas.openxmlformats.org/officeDocument/2006/relationships/chart" Target="../charts/chart41.xml"/><Relationship Id="rId6" Type="http://schemas.openxmlformats.org/officeDocument/2006/relationships/image" Target="../media/image10.emf"/><Relationship Id="rId5" Type="http://schemas.openxmlformats.org/officeDocument/2006/relationships/chart" Target="../charts/chart43.xml"/><Relationship Id="rId4" Type="http://schemas.openxmlformats.org/officeDocument/2006/relationships/image" Target="../media/image19.emf"/><Relationship Id="rId9" Type="http://schemas.openxmlformats.org/officeDocument/2006/relationships/chart" Target="../charts/chart4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chart" Target="../charts/chart4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7" Type="http://schemas.openxmlformats.org/officeDocument/2006/relationships/chart" Target="../charts/chart50.xml"/><Relationship Id="rId2" Type="http://schemas.openxmlformats.org/officeDocument/2006/relationships/image" Target="../media/image22.emf"/><Relationship Id="rId1" Type="http://schemas.openxmlformats.org/officeDocument/2006/relationships/chart" Target="../charts/chart47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9525</xdr:rowOff>
    </xdr:from>
    <xdr:to>
      <xdr:col>4</xdr:col>
      <xdr:colOff>1295400</xdr:colOff>
      <xdr:row>20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50</xdr:row>
      <xdr:rowOff>9525</xdr:rowOff>
    </xdr:from>
    <xdr:to>
      <xdr:col>5</xdr:col>
      <xdr:colOff>0</xdr:colOff>
      <xdr:row>63</xdr:row>
      <xdr:rowOff>0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57150</xdr:colOff>
      <xdr:row>93</xdr:row>
      <xdr:rowOff>0</xdr:rowOff>
    </xdr:from>
    <xdr:to>
      <xdr:col>5</xdr:col>
      <xdr:colOff>0</xdr:colOff>
      <xdr:row>108</xdr:row>
      <xdr:rowOff>142875</xdr:rowOff>
    </xdr:to>
    <xdr:sp macro="" textlink="" fLocksText="0">
      <xdr:nvSpPr>
        <xdr:cNvPr id="2055" name="Text Box 7"/>
        <xdr:cNvSpPr txBox="1">
          <a:spLocks noChangeArrowheads="1"/>
        </xdr:cNvSpPr>
      </xdr:nvSpPr>
      <xdr:spPr bwMode="auto">
        <a:xfrm>
          <a:off x="3867150" y="19659600"/>
          <a:ext cx="3857625" cy="2571750"/>
        </a:xfrm>
        <a:prstGeom prst="rect">
          <a:avLst/>
        </a:prstGeom>
        <a:solidFill>
          <a:srgbClr val="CCFFCC"/>
        </a:solidFill>
        <a:ln w="1905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 AIRE</a:t>
          </a: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Analiza la contaminación del aire por tratamientos fitosanitarios. Se basa en una clasificación de los tramtamientos fitosanitarios en 140 grados en función de los 4 parámetros de peligrosidad (general, para la fauna terrestres, para la fauna acuñicola y plazo de seguridad) y del tipo de tratamiento.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 técnicas de aplicación, espolvoreo, atomización, nebulización y pulverización, proporcionan información sobre la cantidad de producto a aplicar (a mayor perfección en la técnica corresponde menor cantidad de producto) y sobre las características de la dispersión del producto, función de la distancia a que la máquina empleada puede enviarlo.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Uniendo ambos aspectos es posible calsificar los tratamientos en función del efecto que pueden producir. El que aquí se describe se denomina ICT y se puede utilizar para un solo producto, para un tratamiento con varios productos o para un calendario de tratamientos que cubra el ciclo completo de una explotación.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caso de un solo producto, el ICT se confeccona combinando, por orden de importancia, los siguientes aspectos:</a:t>
          </a:r>
        </a:p>
      </xdr:txBody>
    </xdr:sp>
    <xdr:clientData/>
  </xdr:twoCellAnchor>
  <xdr:twoCellAnchor>
    <xdr:from>
      <xdr:col>2</xdr:col>
      <xdr:colOff>0</xdr:colOff>
      <xdr:row>80</xdr:row>
      <xdr:rowOff>9525</xdr:rowOff>
    </xdr:from>
    <xdr:to>
      <xdr:col>5</xdr:col>
      <xdr:colOff>0</xdr:colOff>
      <xdr:row>93</xdr:row>
      <xdr:rowOff>0</xdr:rowOff>
    </xdr:to>
    <xdr:graphicFrame macro="">
      <xdr:nvGraphicFramePr>
        <xdr:cNvPr id="20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graphicFrame macro="">
      <xdr:nvGraphicFramePr>
        <xdr:cNvPr id="2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0</xdr:colOff>
      <xdr:row>62</xdr:row>
      <xdr:rowOff>152400</xdr:rowOff>
    </xdr:from>
    <xdr:to>
      <xdr:col>5</xdr:col>
      <xdr:colOff>0</xdr:colOff>
      <xdr:row>71</xdr:row>
      <xdr:rowOff>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3810000" y="13258800"/>
          <a:ext cx="3914775" cy="13049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 AIRE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:concentración de SO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partículas en suspensión, Pb, NO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CO e hidrocarburos.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:SO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=350, partículas en suspensión=250, Pb=4, NO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=200, CO=20 y hidrocarburos=140.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índice ORAQI toma valores desde 0 (aire limpio) a 50 (aire contaminado, con las 5 concentraciones de los parámetros iguales a la estándar).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 las concentraciones medidas superan a la estándar, el IRAQI puede llegar a valores superiores a 500.</a:t>
          </a:r>
        </a:p>
      </xdr:txBody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3810000" y="4772025"/>
          <a:ext cx="3914775" cy="12954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22860" rIns="0" bIns="0" anchor="t" upright="1"/>
        <a:lstStyle/>
        <a:p>
          <a:pPr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 AIRE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 la fórmula del índice: K:0,75 (aire ligero y/o olor agradable), 0,50 (aire con olor desagradable), 0,25 (aire con olor fuerte y muy desagradable), 0,00 (aire con olor insoportable) y 1,00 (cuano se considera el olor como un factor independiente de la calidad del aire). 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Pi: peso parámetro y Ci: valor porcentual se obtienen de la tabla.</a:t>
          </a:r>
        </a:p>
        <a:p>
          <a:pPr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Unidades =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(CO en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1714500</xdr:colOff>
      <xdr:row>2</xdr:row>
      <xdr:rowOff>371475</xdr:rowOff>
    </xdr:to>
    <xdr:pic>
      <xdr:nvPicPr>
        <xdr:cNvPr id="20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47875" y="762000"/>
          <a:ext cx="1143000" cy="3714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838200</xdr:colOff>
      <xdr:row>30</xdr:row>
      <xdr:rowOff>0</xdr:rowOff>
    </xdr:from>
    <xdr:to>
      <xdr:col>4</xdr:col>
      <xdr:colOff>1266825</xdr:colOff>
      <xdr:row>37</xdr:row>
      <xdr:rowOff>123825</xdr:rowOff>
    </xdr:to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5953125" y="6391275"/>
          <a:ext cx="1733550" cy="1257300"/>
        </a:xfrm>
        <a:prstGeom prst="rect">
          <a:avLst/>
        </a:prstGeom>
        <a:solidFill>
          <a:srgbClr val="CCFFCC"/>
        </a:solidFill>
        <a:ln w="1905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Los valores expresados no deben sobrepasar más de 3 días. SI tomamos como indicador la concentraciín media en un año, los valores analíticos correspondientes a cada valor porcentual se reducen aproximadamente a la mitad.</a:t>
          </a:r>
        </a:p>
      </xdr:txBody>
    </xdr:sp>
    <xdr:clientData/>
  </xdr:twoCellAnchor>
  <xdr:twoCellAnchor editAs="oneCell">
    <xdr:from>
      <xdr:col>1</xdr:col>
      <xdr:colOff>476250</xdr:colOff>
      <xdr:row>44</xdr:row>
      <xdr:rowOff>371475</xdr:rowOff>
    </xdr:from>
    <xdr:to>
      <xdr:col>1</xdr:col>
      <xdr:colOff>1704975</xdr:colOff>
      <xdr:row>46</xdr:row>
      <xdr:rowOff>0</xdr:rowOff>
    </xdr:to>
    <xdr:pic>
      <xdr:nvPicPr>
        <xdr:cNvPr id="207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52625" y="9248775"/>
          <a:ext cx="1228725" cy="390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109</xdr:row>
      <xdr:rowOff>19050</xdr:rowOff>
    </xdr:from>
    <xdr:to>
      <xdr:col>5</xdr:col>
      <xdr:colOff>0</xdr:colOff>
      <xdr:row>114</xdr:row>
      <xdr:rowOff>114300</xdr:rowOff>
    </xdr:to>
    <xdr:sp macro="" textlink="" fLocksText="0">
      <xdr:nvSpPr>
        <xdr:cNvPr id="2073" name="Text Box 25"/>
        <xdr:cNvSpPr txBox="1">
          <a:spLocks noChangeArrowheads="1"/>
        </xdr:cNvSpPr>
      </xdr:nvSpPr>
      <xdr:spPr bwMode="auto">
        <a:xfrm>
          <a:off x="238125" y="22269450"/>
          <a:ext cx="7486650" cy="904875"/>
        </a:xfrm>
        <a:prstGeom prst="rect">
          <a:avLst/>
        </a:prstGeom>
        <a:solidFill>
          <a:srgbClr val="CCFFCC"/>
        </a:solidFill>
        <a:ln w="1905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1.La toxicidad general del producto (A:baja, B:peligroso, C:tóxico, D:muy tóxico)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La toxicidad para la fauna terrestre (A:inocuo, B:peligroso, C:muy peligroso)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3.La toxicidad para la fauna acuícola (A:inocuo, B:peligroso, C:muy peligroso)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4. El tipo de tratamiento (1:nebulización, 2:atomización, 3:pulverización, 4:espolvoreo, 5:aéreo)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Así se obtienen 140 combinaciones o grados del IGC, que van desde la primera y menos agresiva (AAA1) hasta la 140 (DCC5), ambientalmente la más peligrosa.</a:t>
          </a:r>
        </a:p>
      </xdr:txBody>
    </xdr:sp>
    <xdr:clientData/>
  </xdr:twoCellAnchor>
  <xdr:twoCellAnchor editAs="oneCell">
    <xdr:from>
      <xdr:col>0</xdr:col>
      <xdr:colOff>0</xdr:colOff>
      <xdr:row>28</xdr:row>
      <xdr:rowOff>9525</xdr:rowOff>
    </xdr:from>
    <xdr:to>
      <xdr:col>3</xdr:col>
      <xdr:colOff>714375</xdr:colOff>
      <xdr:row>42</xdr:row>
      <xdr:rowOff>0</xdr:rowOff>
    </xdr:to>
    <xdr:pic>
      <xdr:nvPicPr>
        <xdr:cNvPr id="207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6076950"/>
          <a:ext cx="5829300" cy="22574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84</xdr:row>
      <xdr:rowOff>152400</xdr:rowOff>
    </xdr:from>
    <xdr:to>
      <xdr:col>5</xdr:col>
      <xdr:colOff>0</xdr:colOff>
      <xdr:row>96</xdr:row>
      <xdr:rowOff>152400</xdr:rowOff>
    </xdr:to>
    <xdr:sp macro="" textlink="" fLocksText="0">
      <xdr:nvSpPr>
        <xdr:cNvPr id="3073" name="Text Box 1"/>
        <xdr:cNvSpPr txBox="1">
          <a:spLocks noChangeArrowheads="1"/>
        </xdr:cNvSpPr>
      </xdr:nvSpPr>
      <xdr:spPr bwMode="auto">
        <a:xfrm>
          <a:off x="3810000" y="18354675"/>
          <a:ext cx="3914775" cy="1943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1.1.1.1. NIVEL DE CO</a:t>
          </a: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      15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                             20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     34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       60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valor promedio en función de la población existente en las n zonas homogéneas.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85</xdr:row>
      <xdr:rowOff>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118</xdr:row>
      <xdr:rowOff>152400</xdr:rowOff>
    </xdr:from>
    <xdr:to>
      <xdr:col>5</xdr:col>
      <xdr:colOff>0</xdr:colOff>
      <xdr:row>123</xdr:row>
      <xdr:rowOff>0</xdr:rowOff>
    </xdr:to>
    <xdr:sp macro="" textlink="" fLocksText="0">
      <xdr:nvSpPr>
        <xdr:cNvPr id="3075" name="Text Box 3"/>
        <xdr:cNvSpPr txBox="1">
          <a:spLocks noChangeArrowheads="1"/>
        </xdr:cNvSpPr>
      </xdr:nvSpPr>
      <xdr:spPr bwMode="auto">
        <a:xfrm>
          <a:off x="3819525" y="25393650"/>
          <a:ext cx="3905250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1.1.1.1 NIVEL DE CO</a:t>
          </a: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              15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24h.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5</xdr:col>
      <xdr:colOff>0</xdr:colOff>
      <xdr:row>119</xdr:row>
      <xdr:rowOff>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676275</xdr:colOff>
      <xdr:row>67</xdr:row>
      <xdr:rowOff>0</xdr:rowOff>
    </xdr:from>
    <xdr:to>
      <xdr:col>1</xdr:col>
      <xdr:colOff>1552575</xdr:colOff>
      <xdr:row>67</xdr:row>
      <xdr:rowOff>371475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52650" y="14354175"/>
          <a:ext cx="876300" cy="371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85725</xdr:colOff>
      <xdr:row>101</xdr:row>
      <xdr:rowOff>19050</xdr:rowOff>
    </xdr:from>
    <xdr:to>
      <xdr:col>1</xdr:col>
      <xdr:colOff>2238375</xdr:colOff>
      <xdr:row>101</xdr:row>
      <xdr:rowOff>371475</xdr:rowOff>
    </xdr:to>
    <xdr:pic>
      <xdr:nvPicPr>
        <xdr:cNvPr id="30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62100" y="21412200"/>
          <a:ext cx="2152650" cy="352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309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5</xdr:col>
      <xdr:colOff>0</xdr:colOff>
      <xdr:row>51</xdr:row>
      <xdr:rowOff>0</xdr:rowOff>
    </xdr:to>
    <xdr:graphicFrame macro="">
      <xdr:nvGraphicFramePr>
        <xdr:cNvPr id="309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9525</xdr:colOff>
      <xdr:row>20</xdr:row>
      <xdr:rowOff>0</xdr:rowOff>
    </xdr:from>
    <xdr:to>
      <xdr:col>5</xdr:col>
      <xdr:colOff>0</xdr:colOff>
      <xdr:row>29</xdr:row>
      <xdr:rowOff>0</xdr:rowOff>
    </xdr:to>
    <xdr:sp macro="" textlink="" fLocksText="0">
      <xdr:nvSpPr>
        <xdr:cNvPr id="3093" name="Text Box 21"/>
        <xdr:cNvSpPr txBox="1">
          <a:spLocks noChangeArrowheads="1"/>
        </xdr:cNvSpPr>
      </xdr:nvSpPr>
      <xdr:spPr bwMode="auto">
        <a:xfrm>
          <a:off x="3819525" y="4772025"/>
          <a:ext cx="3905250" cy="14573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1.1.1.1 NIVEL DE CO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 15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 20 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34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   60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</a:p>
      </xdr:txBody>
    </xdr:sp>
    <xdr:clientData fLocksWithSheet="0"/>
  </xdr:twoCellAnchor>
  <xdr:twoCellAnchor editAs="oneCell">
    <xdr:from>
      <xdr:col>2</xdr:col>
      <xdr:colOff>9525</xdr:colOff>
      <xdr:row>51</xdr:row>
      <xdr:rowOff>0</xdr:rowOff>
    </xdr:from>
    <xdr:to>
      <xdr:col>5</xdr:col>
      <xdr:colOff>0</xdr:colOff>
      <xdr:row>62</xdr:row>
      <xdr:rowOff>152400</xdr:rowOff>
    </xdr:to>
    <xdr:sp macro="" textlink="" fLocksText="0">
      <xdr:nvSpPr>
        <xdr:cNvPr id="3094" name="Text Box 22"/>
        <xdr:cNvSpPr txBox="1">
          <a:spLocks noChangeArrowheads="1"/>
        </xdr:cNvSpPr>
      </xdr:nvSpPr>
      <xdr:spPr bwMode="auto">
        <a:xfrm>
          <a:off x="3819525" y="11325225"/>
          <a:ext cx="3905250" cy="19335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1.1.1.1 NIVEL DE CO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 15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 20 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34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   60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cuando el efecto es distinto según la zona. Se mide el promedio en n zonas homogéneas.</a:t>
          </a:r>
        </a:p>
      </xdr:txBody>
    </xdr:sp>
    <xdr:clientData fLocksWithSheet="0"/>
  </xdr:twoCellAnchor>
  <xdr:twoCellAnchor editAs="oneCell">
    <xdr:from>
      <xdr:col>1</xdr:col>
      <xdr:colOff>619125</xdr:colOff>
      <xdr:row>32</xdr:row>
      <xdr:rowOff>371475</xdr:rowOff>
    </xdr:from>
    <xdr:to>
      <xdr:col>1</xdr:col>
      <xdr:colOff>1476375</xdr:colOff>
      <xdr:row>34</xdr:row>
      <xdr:rowOff>9525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0" y="7305675"/>
          <a:ext cx="857250" cy="400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72</xdr:row>
      <xdr:rowOff>0</xdr:rowOff>
    </xdr:from>
    <xdr:to>
      <xdr:col>5</xdr:col>
      <xdr:colOff>0</xdr:colOff>
      <xdr:row>85</xdr:row>
      <xdr:rowOff>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106</xdr:row>
      <xdr:rowOff>0</xdr:rowOff>
    </xdr:from>
    <xdr:to>
      <xdr:col>5</xdr:col>
      <xdr:colOff>0</xdr:colOff>
      <xdr:row>119</xdr:row>
      <xdr:rowOff>0</xdr:rowOff>
    </xdr:to>
    <xdr:graphicFrame macro="">
      <xdr:nvGraphicFramePr>
        <xdr:cNvPr id="61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122</xdr:row>
      <xdr:rowOff>0</xdr:rowOff>
    </xdr:from>
    <xdr:to>
      <xdr:col>5</xdr:col>
      <xdr:colOff>0</xdr:colOff>
      <xdr:row>122</xdr:row>
      <xdr:rowOff>0</xdr:rowOff>
    </xdr:to>
    <xdr:graphicFrame macro="">
      <xdr:nvGraphicFramePr>
        <xdr:cNvPr id="61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2324100</xdr:colOff>
      <xdr:row>122</xdr:row>
      <xdr:rowOff>0</xdr:rowOff>
    </xdr:from>
    <xdr:to>
      <xdr:col>5</xdr:col>
      <xdr:colOff>0</xdr:colOff>
      <xdr:row>122</xdr:row>
      <xdr:rowOff>0</xdr:rowOff>
    </xdr:to>
    <xdr:graphicFrame macro="">
      <xdr:nvGraphicFramePr>
        <xdr:cNvPr id="61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122</xdr:row>
      <xdr:rowOff>0</xdr:rowOff>
    </xdr:from>
    <xdr:to>
      <xdr:col>5</xdr:col>
      <xdr:colOff>0</xdr:colOff>
      <xdr:row>122</xdr:row>
      <xdr:rowOff>0</xdr:rowOff>
    </xdr:to>
    <xdr:graphicFrame macro="">
      <xdr:nvGraphicFramePr>
        <xdr:cNvPr id="61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676275</xdr:colOff>
      <xdr:row>67</xdr:row>
      <xdr:rowOff>0</xdr:rowOff>
    </xdr:from>
    <xdr:to>
      <xdr:col>1</xdr:col>
      <xdr:colOff>1552575</xdr:colOff>
      <xdr:row>67</xdr:row>
      <xdr:rowOff>371475</xdr:rowOff>
    </xdr:to>
    <xdr:pic>
      <xdr:nvPicPr>
        <xdr:cNvPr id="6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52650" y="14354175"/>
          <a:ext cx="876300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615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5</xdr:col>
      <xdr:colOff>0</xdr:colOff>
      <xdr:row>51</xdr:row>
      <xdr:rowOff>0</xdr:rowOff>
    </xdr:to>
    <xdr:graphicFrame macro="">
      <xdr:nvGraphicFramePr>
        <xdr:cNvPr id="615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9525</xdr:colOff>
      <xdr:row>20</xdr:row>
      <xdr:rowOff>0</xdr:rowOff>
    </xdr:from>
    <xdr:to>
      <xdr:col>5</xdr:col>
      <xdr:colOff>0</xdr:colOff>
      <xdr:row>29</xdr:row>
      <xdr:rowOff>0</xdr:rowOff>
    </xdr:to>
    <xdr:sp macro="" textlink="" fLocksText="0">
      <xdr:nvSpPr>
        <xdr:cNvPr id="6159" name="Text Box 15"/>
        <xdr:cNvSpPr txBox="1">
          <a:spLocks noChangeArrowheads="1"/>
        </xdr:cNvSpPr>
      </xdr:nvSpPr>
      <xdr:spPr bwMode="auto">
        <a:xfrm>
          <a:off x="3819525" y="4772025"/>
          <a:ext cx="3905250" cy="14573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1.1.1.2 NIVEL DE NO</a:t>
          </a:r>
          <a:r>
            <a:rPr lang="es-ES" sz="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x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 200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 200 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565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   1000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ambiente).</a:t>
          </a:r>
        </a:p>
      </xdr:txBody>
    </xdr:sp>
    <xdr:clientData fLocksWithSheet="0"/>
  </xdr:twoCellAnchor>
  <xdr:twoCellAnchor editAs="oneCell">
    <xdr:from>
      <xdr:col>1</xdr:col>
      <xdr:colOff>619125</xdr:colOff>
      <xdr:row>32</xdr:row>
      <xdr:rowOff>371475</xdr:rowOff>
    </xdr:from>
    <xdr:to>
      <xdr:col>1</xdr:col>
      <xdr:colOff>1476375</xdr:colOff>
      <xdr:row>34</xdr:row>
      <xdr:rowOff>9525</xdr:rowOff>
    </xdr:to>
    <xdr:pic>
      <xdr:nvPicPr>
        <xdr:cNvPr id="61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95500" y="7305675"/>
          <a:ext cx="857250" cy="400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51</xdr:row>
      <xdr:rowOff>0</xdr:rowOff>
    </xdr:from>
    <xdr:to>
      <xdr:col>5</xdr:col>
      <xdr:colOff>0</xdr:colOff>
      <xdr:row>63</xdr:row>
      <xdr:rowOff>0</xdr:rowOff>
    </xdr:to>
    <xdr:sp macro="" textlink="" fLocksText="0">
      <xdr:nvSpPr>
        <xdr:cNvPr id="6164" name="Text Box 20"/>
        <xdr:cNvSpPr txBox="1">
          <a:spLocks noChangeArrowheads="1"/>
        </xdr:cNvSpPr>
      </xdr:nvSpPr>
      <xdr:spPr bwMode="auto">
        <a:xfrm>
          <a:off x="3819525" y="11325225"/>
          <a:ext cx="3905250" cy="1943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1.1.1.2 NIVEL DE NO</a:t>
          </a:r>
          <a:r>
            <a:rPr lang="es-ES" sz="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x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 200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 200 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565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   1000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cuando el efecto es distinto según la zona. Se mide el promedio en n zonas homogéneas.</a:t>
          </a:r>
        </a:p>
      </xdr:txBody>
    </xdr:sp>
    <xdr:clientData fLocksWithSheet="0"/>
  </xdr:twoCellAnchor>
  <xdr:twoCellAnchor editAs="oneCell">
    <xdr:from>
      <xdr:col>2</xdr:col>
      <xdr:colOff>9525</xdr:colOff>
      <xdr:row>85</xdr:row>
      <xdr:rowOff>0</xdr:rowOff>
    </xdr:from>
    <xdr:to>
      <xdr:col>5</xdr:col>
      <xdr:colOff>0</xdr:colOff>
      <xdr:row>97</xdr:row>
      <xdr:rowOff>0</xdr:rowOff>
    </xdr:to>
    <xdr:sp macro="" textlink="" fLocksText="0">
      <xdr:nvSpPr>
        <xdr:cNvPr id="6165" name="Text Box 21"/>
        <xdr:cNvSpPr txBox="1">
          <a:spLocks noChangeArrowheads="1"/>
        </xdr:cNvSpPr>
      </xdr:nvSpPr>
      <xdr:spPr bwMode="auto">
        <a:xfrm>
          <a:off x="3819525" y="18364200"/>
          <a:ext cx="3905250" cy="1943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1.1.1.2 NIVEL DE NO</a:t>
          </a:r>
          <a:r>
            <a:rPr lang="es-ES" sz="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x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 200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 200 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565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   1000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valor promedio en función de la población existente en las n zonas homogéneas.</a:t>
          </a:r>
        </a:p>
      </xdr:txBody>
    </xdr:sp>
    <xdr:clientData fLocksWithSheet="0"/>
  </xdr:twoCellAnchor>
  <xdr:twoCellAnchor editAs="oneCell">
    <xdr:from>
      <xdr:col>1</xdr:col>
      <xdr:colOff>104775</xdr:colOff>
      <xdr:row>101</xdr:row>
      <xdr:rowOff>0</xdr:rowOff>
    </xdr:from>
    <xdr:to>
      <xdr:col>1</xdr:col>
      <xdr:colOff>2276475</xdr:colOff>
      <xdr:row>101</xdr:row>
      <xdr:rowOff>352425</xdr:rowOff>
    </xdr:to>
    <xdr:pic>
      <xdr:nvPicPr>
        <xdr:cNvPr id="616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81150" y="21393150"/>
          <a:ext cx="2171700" cy="352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118</xdr:row>
      <xdr:rowOff>152400</xdr:rowOff>
    </xdr:from>
    <xdr:to>
      <xdr:col>4</xdr:col>
      <xdr:colOff>1295400</xdr:colOff>
      <xdr:row>122</xdr:row>
      <xdr:rowOff>142875</xdr:rowOff>
    </xdr:to>
    <xdr:sp macro="" textlink="" fLocksText="0">
      <xdr:nvSpPr>
        <xdr:cNvPr id="6167" name="Text Box 23"/>
        <xdr:cNvSpPr txBox="1">
          <a:spLocks noChangeArrowheads="1"/>
        </xdr:cNvSpPr>
      </xdr:nvSpPr>
      <xdr:spPr bwMode="auto">
        <a:xfrm>
          <a:off x="3810000" y="25393650"/>
          <a:ext cx="3905250" cy="6381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1.1.1.2 NIVEL DE NO</a:t>
          </a:r>
          <a:r>
            <a:rPr lang="es-ES" sz="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x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          200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24h.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5</xdr:col>
      <xdr:colOff>0</xdr:colOff>
      <xdr:row>63</xdr:row>
      <xdr:rowOff>0</xdr:rowOff>
    </xdr:to>
    <xdr:sp macro="" textlink="">
      <xdr:nvSpPr>
        <xdr:cNvPr id="4112" name="Text Box 16"/>
        <xdr:cNvSpPr txBox="1">
          <a:spLocks noChangeArrowheads="1"/>
        </xdr:cNvSpPr>
      </xdr:nvSpPr>
      <xdr:spPr bwMode="auto">
        <a:xfrm>
          <a:off x="3810000" y="11325225"/>
          <a:ext cx="3914775" cy="1943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1.1.1.3 NIVEL DE SO</a:t>
          </a:r>
          <a:r>
            <a:rPr lang="es-ES" sz="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  400 mg m-3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  180  mg m-3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 800 mg m-3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  2200 mg m-3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cuando el efecto es distinto según la zona. Se mide el promedio en n zonas homogéneas.</a:t>
          </a:r>
        </a:p>
      </xdr:txBody>
    </xdr:sp>
    <xdr:clientData/>
  </xdr:twoCellAnchor>
  <xdr:twoCellAnchor editAs="oneCell">
    <xdr:from>
      <xdr:col>2</xdr:col>
      <xdr:colOff>9525</xdr:colOff>
      <xdr:row>19</xdr:row>
      <xdr:rowOff>152400</xdr:rowOff>
    </xdr:from>
    <xdr:to>
      <xdr:col>5</xdr:col>
      <xdr:colOff>0</xdr:colOff>
      <xdr:row>28</xdr:row>
      <xdr:rowOff>152400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3819525" y="4762500"/>
          <a:ext cx="3905250" cy="14573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1.1.1.3 NIVEL DE SO</a:t>
          </a:r>
          <a:r>
            <a:rPr lang="es-ES" sz="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400 mg m-3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 180  mg m-3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800 mg m-3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2200 mg m-3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ambiente).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2324100</xdr:colOff>
      <xdr:row>38</xdr:row>
      <xdr:rowOff>9525</xdr:rowOff>
    </xdr:from>
    <xdr:to>
      <xdr:col>4</xdr:col>
      <xdr:colOff>1285875</xdr:colOff>
      <xdr:row>51</xdr:row>
      <xdr:rowOff>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72</xdr:row>
      <xdr:rowOff>9525</xdr:rowOff>
    </xdr:from>
    <xdr:to>
      <xdr:col>4</xdr:col>
      <xdr:colOff>1295400</xdr:colOff>
      <xdr:row>84</xdr:row>
      <xdr:rowOff>152400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105</xdr:row>
      <xdr:rowOff>9525</xdr:rowOff>
    </xdr:from>
    <xdr:to>
      <xdr:col>5</xdr:col>
      <xdr:colOff>0</xdr:colOff>
      <xdr:row>118</xdr:row>
      <xdr:rowOff>0</xdr:rowOff>
    </xdr:to>
    <xdr:graphicFrame macro="">
      <xdr:nvGraphicFramePr>
        <xdr:cNvPr id="410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118</xdr:row>
      <xdr:rowOff>0</xdr:rowOff>
    </xdr:from>
    <xdr:to>
      <xdr:col>4</xdr:col>
      <xdr:colOff>1295400</xdr:colOff>
      <xdr:row>122</xdr:row>
      <xdr:rowOff>0</xdr:rowOff>
    </xdr:to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3810000" y="25241250"/>
          <a:ext cx="3905250" cy="6477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1.1.1.3 NIVEL DE SO</a:t>
          </a:r>
          <a:r>
            <a:rPr lang="es-ES" sz="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         400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24h.</a:t>
          </a:r>
        </a:p>
      </xdr:txBody>
    </xdr:sp>
    <xdr:clientData/>
  </xdr:twoCellAnchor>
  <xdr:twoCellAnchor editAs="oneCell">
    <xdr:from>
      <xdr:col>2</xdr:col>
      <xdr:colOff>0</xdr:colOff>
      <xdr:row>84</xdr:row>
      <xdr:rowOff>152400</xdr:rowOff>
    </xdr:from>
    <xdr:to>
      <xdr:col>5</xdr:col>
      <xdr:colOff>0</xdr:colOff>
      <xdr:row>96</xdr:row>
      <xdr:rowOff>0</xdr:rowOff>
    </xdr:to>
    <xdr:sp macro="" textlink="">
      <xdr:nvSpPr>
        <xdr:cNvPr id="4114" name="Text Box 18"/>
        <xdr:cNvSpPr txBox="1">
          <a:spLocks noChangeArrowheads="1"/>
        </xdr:cNvSpPr>
      </xdr:nvSpPr>
      <xdr:spPr bwMode="auto">
        <a:xfrm>
          <a:off x="3810000" y="18354675"/>
          <a:ext cx="3914775" cy="17907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1.1.1.3 NIVEL DE SO</a:t>
          </a:r>
          <a:r>
            <a:rPr lang="es-ES" sz="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 400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180 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 800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 2200 mg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valor promedio en función de la población existente en las n zonas homogéneas.</a:t>
          </a:r>
        </a:p>
      </xdr:txBody>
    </xdr:sp>
    <xdr:clientData/>
  </xdr:twoCellAnchor>
  <xdr:twoCellAnchor editAs="oneCell">
    <xdr:from>
      <xdr:col>1</xdr:col>
      <xdr:colOff>714375</xdr:colOff>
      <xdr:row>33</xdr:row>
      <xdr:rowOff>0</xdr:rowOff>
    </xdr:from>
    <xdr:to>
      <xdr:col>1</xdr:col>
      <xdr:colOff>1562100</xdr:colOff>
      <xdr:row>34</xdr:row>
      <xdr:rowOff>28575</xdr:rowOff>
    </xdr:to>
    <xdr:pic>
      <xdr:nvPicPr>
        <xdr:cNvPr id="411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7315200"/>
          <a:ext cx="847725" cy="4095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685800</xdr:colOff>
      <xdr:row>67</xdr:row>
      <xdr:rowOff>9525</xdr:rowOff>
    </xdr:from>
    <xdr:to>
      <xdr:col>1</xdr:col>
      <xdr:colOff>1552575</xdr:colOff>
      <xdr:row>68</xdr:row>
      <xdr:rowOff>0</xdr:rowOff>
    </xdr:to>
    <xdr:pic>
      <xdr:nvPicPr>
        <xdr:cNvPr id="41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14363700"/>
          <a:ext cx="866775" cy="371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95250</xdr:colOff>
      <xdr:row>100</xdr:row>
      <xdr:rowOff>19050</xdr:rowOff>
    </xdr:from>
    <xdr:to>
      <xdr:col>1</xdr:col>
      <xdr:colOff>2247900</xdr:colOff>
      <xdr:row>100</xdr:row>
      <xdr:rowOff>371475</xdr:rowOff>
    </xdr:to>
    <xdr:pic>
      <xdr:nvPicPr>
        <xdr:cNvPr id="411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71625" y="21250275"/>
          <a:ext cx="2152650" cy="3524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20</xdr:row>
      <xdr:rowOff>0</xdr:rowOff>
    </xdr:from>
    <xdr:to>
      <xdr:col>5</xdr:col>
      <xdr:colOff>0</xdr:colOff>
      <xdr:row>23</xdr:row>
      <xdr:rowOff>152400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762375" y="4772025"/>
          <a:ext cx="3905250" cy="638175"/>
        </a:xfrm>
        <a:prstGeom prst="rect">
          <a:avLst/>
        </a:prstGeom>
        <a:solidFill>
          <a:srgbClr val="CCFFCC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1.1.1.4 NIVEL DE HIDROCARBUROS.</a:t>
          </a: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4</xdr:col>
      <xdr:colOff>1647825</xdr:colOff>
      <xdr:row>20</xdr:row>
      <xdr:rowOff>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28575</xdr:rowOff>
    </xdr:from>
    <xdr:to>
      <xdr:col>5</xdr:col>
      <xdr:colOff>0</xdr:colOff>
      <xdr:row>27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3810000" y="4800600"/>
          <a:ext cx="3914775" cy="11049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1.1.1.5 CONFORT SONORO DIURNO.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el día (de 8 a 22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dB(A): 45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dB(A): 60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9525</xdr:rowOff>
    </xdr:to>
    <xdr:graphicFrame macro="">
      <xdr:nvGraphicFramePr>
        <xdr:cNvPr id="8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48</xdr:row>
      <xdr:rowOff>9525</xdr:rowOff>
    </xdr:from>
    <xdr:to>
      <xdr:col>4</xdr:col>
      <xdr:colOff>1285875</xdr:colOff>
      <xdr:row>55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3810000" y="10848975"/>
          <a:ext cx="3895725" cy="1123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1.1.1.5 CONFORT SONORO DIURNO.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el día (de 8 a 22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dB(A): 55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dB(A): 70</a:t>
          </a:r>
        </a:p>
      </xdr:txBody>
    </xdr:sp>
    <xdr:clientData/>
  </xdr:twoCellAnchor>
  <xdr:twoCellAnchor editAs="oneCell">
    <xdr:from>
      <xdr:col>2</xdr:col>
      <xdr:colOff>0</xdr:colOff>
      <xdr:row>77</xdr:row>
      <xdr:rowOff>9525</xdr:rowOff>
    </xdr:from>
    <xdr:to>
      <xdr:col>5</xdr:col>
      <xdr:colOff>0</xdr:colOff>
      <xdr:row>84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3810000" y="17078325"/>
          <a:ext cx="3914775" cy="1123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1.1.1.5 CONFORT SONORO DIURNO.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el día (de 8 a 22 horas).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referencia: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dB(A): 60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dB(A): 80</a:t>
          </a:r>
        </a:p>
      </xdr:txBody>
    </xdr:sp>
    <xdr:clientData/>
  </xdr:twoCellAnchor>
  <xdr:twoCellAnchor editAs="oneCell">
    <xdr:from>
      <xdr:col>2</xdr:col>
      <xdr:colOff>0</xdr:colOff>
      <xdr:row>106</xdr:row>
      <xdr:rowOff>9525</xdr:rowOff>
    </xdr:from>
    <xdr:to>
      <xdr:col>5</xdr:col>
      <xdr:colOff>0</xdr:colOff>
      <xdr:row>113</xdr:row>
      <xdr:rowOff>0</xdr:rowOff>
    </xdr:to>
    <xdr:sp macro="" textlink="">
      <xdr:nvSpPr>
        <xdr:cNvPr id="8199" name="Text Box 7"/>
        <xdr:cNvSpPr txBox="1">
          <a:spLocks noChangeArrowheads="1"/>
        </xdr:cNvSpPr>
      </xdr:nvSpPr>
      <xdr:spPr bwMode="auto">
        <a:xfrm>
          <a:off x="3810000" y="23307675"/>
          <a:ext cx="3914775" cy="1123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1.1.1.5 CONFORT SONORO DIURNO.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el día (de 8 a 22 horas).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referencia: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dB(A): 70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dB(A): 80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48</xdr:row>
      <xdr:rowOff>0</xdr:rowOff>
    </xdr:to>
    <xdr:graphicFrame macro="">
      <xdr:nvGraphicFramePr>
        <xdr:cNvPr id="82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64</xdr:row>
      <xdr:rowOff>0</xdr:rowOff>
    </xdr:from>
    <xdr:to>
      <xdr:col>4</xdr:col>
      <xdr:colOff>1504950</xdr:colOff>
      <xdr:row>77</xdr:row>
      <xdr:rowOff>0</xdr:rowOff>
    </xdr:to>
    <xdr:graphicFrame macro="">
      <xdr:nvGraphicFramePr>
        <xdr:cNvPr id="82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93</xdr:row>
      <xdr:rowOff>9525</xdr:rowOff>
    </xdr:from>
    <xdr:to>
      <xdr:col>5</xdr:col>
      <xdr:colOff>0</xdr:colOff>
      <xdr:row>106</xdr:row>
      <xdr:rowOff>0</xdr:rowOff>
    </xdr:to>
    <xdr:graphicFrame macro="">
      <xdr:nvGraphicFramePr>
        <xdr:cNvPr id="82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2333625</xdr:colOff>
      <xdr:row>122</xdr:row>
      <xdr:rowOff>0</xdr:rowOff>
    </xdr:from>
    <xdr:to>
      <xdr:col>5</xdr:col>
      <xdr:colOff>0</xdr:colOff>
      <xdr:row>134</xdr:row>
      <xdr:rowOff>152400</xdr:rowOff>
    </xdr:to>
    <xdr:graphicFrame macro="">
      <xdr:nvGraphicFramePr>
        <xdr:cNvPr id="82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609600</xdr:colOff>
      <xdr:row>116</xdr:row>
      <xdr:rowOff>371475</xdr:rowOff>
    </xdr:from>
    <xdr:to>
      <xdr:col>1</xdr:col>
      <xdr:colOff>1714500</xdr:colOff>
      <xdr:row>118</xdr:row>
      <xdr:rowOff>9525</xdr:rowOff>
    </xdr:to>
    <xdr:pic>
      <xdr:nvPicPr>
        <xdr:cNvPr id="821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85975" y="25507950"/>
          <a:ext cx="1104900" cy="400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152400</xdr:rowOff>
    </xdr:from>
    <xdr:to>
      <xdr:col>5</xdr:col>
      <xdr:colOff>0</xdr:colOff>
      <xdr:row>144</xdr:row>
      <xdr:rowOff>152400</xdr:rowOff>
    </xdr:to>
    <xdr:sp macro="" textlink="">
      <xdr:nvSpPr>
        <xdr:cNvPr id="8216" name="Text Box 24"/>
        <xdr:cNvSpPr txBox="1">
          <a:spLocks noChangeArrowheads="1"/>
        </xdr:cNvSpPr>
      </xdr:nvSpPr>
      <xdr:spPr bwMode="auto">
        <a:xfrm>
          <a:off x="3810000" y="29517975"/>
          <a:ext cx="3914775" cy="16192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1.1.1.5 CONFORT SONORO DIURNO.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el día (de 8 a 22 horas).</a:t>
          </a: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 según la zona: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Zona                                Hospitalaria/escolar  Residencial  Comercial  Industrial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Máx. admisible dB(A)                   45                         55               60            70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                           60                        70               80            80</a:t>
          </a: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cuadno el efecto es distinto según la zona. Se mide el promedio en n zonas homogéneas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666750</xdr:colOff>
      <xdr:row>149</xdr:row>
      <xdr:rowOff>0</xdr:rowOff>
    </xdr:from>
    <xdr:to>
      <xdr:col>1</xdr:col>
      <xdr:colOff>1781175</xdr:colOff>
      <xdr:row>149</xdr:row>
      <xdr:rowOff>371475</xdr:rowOff>
    </xdr:to>
    <xdr:pic>
      <xdr:nvPicPr>
        <xdr:cNvPr id="821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43125" y="32232600"/>
          <a:ext cx="1114425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5</xdr:col>
      <xdr:colOff>0</xdr:colOff>
      <xdr:row>167</xdr:row>
      <xdr:rowOff>0</xdr:rowOff>
    </xdr:to>
    <xdr:graphicFrame macro="">
      <xdr:nvGraphicFramePr>
        <xdr:cNvPr id="82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0</xdr:colOff>
      <xdr:row>167</xdr:row>
      <xdr:rowOff>9525</xdr:rowOff>
    </xdr:from>
    <xdr:to>
      <xdr:col>5</xdr:col>
      <xdr:colOff>0</xdr:colOff>
      <xdr:row>174</xdr:row>
      <xdr:rowOff>0</xdr:rowOff>
    </xdr:to>
    <xdr:sp macro="" textlink="">
      <xdr:nvSpPr>
        <xdr:cNvPr id="8219" name="Text Box 27"/>
        <xdr:cNvSpPr txBox="1">
          <a:spLocks noChangeArrowheads="1"/>
        </xdr:cNvSpPr>
      </xdr:nvSpPr>
      <xdr:spPr bwMode="auto">
        <a:xfrm>
          <a:off x="3810000" y="36252150"/>
          <a:ext cx="3914775" cy="1123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1.1.1.5 CONFORT SONORO DIURNO.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el día (de 8 a 22 horas).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 según la zona: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Zona                                Hospitalaria/escolar  Residencial  Comercial  Industrial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Máx. admisible dB(A)                   45                         55               60            70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                           60                        70               80            80</a:t>
          </a:r>
        </a:p>
      </xdr:txBody>
    </xdr:sp>
    <xdr:clientData/>
  </xdr:twoCellAnchor>
  <xdr:twoCellAnchor>
    <xdr:from>
      <xdr:col>2</xdr:col>
      <xdr:colOff>0</xdr:colOff>
      <xdr:row>183</xdr:row>
      <xdr:rowOff>0</xdr:rowOff>
    </xdr:from>
    <xdr:to>
      <xdr:col>5</xdr:col>
      <xdr:colOff>0</xdr:colOff>
      <xdr:row>196</xdr:row>
      <xdr:rowOff>0</xdr:rowOff>
    </xdr:to>
    <xdr:graphicFrame macro="">
      <xdr:nvGraphicFramePr>
        <xdr:cNvPr id="82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66675</xdr:colOff>
      <xdr:row>178</xdr:row>
      <xdr:rowOff>28575</xdr:rowOff>
    </xdr:from>
    <xdr:to>
      <xdr:col>1</xdr:col>
      <xdr:colOff>2314575</xdr:colOff>
      <xdr:row>179</xdr:row>
      <xdr:rowOff>0</xdr:rowOff>
    </xdr:to>
    <xdr:pic>
      <xdr:nvPicPr>
        <xdr:cNvPr id="822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43050" y="38490525"/>
          <a:ext cx="2247900" cy="352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196</xdr:row>
      <xdr:rowOff>9525</xdr:rowOff>
    </xdr:from>
    <xdr:to>
      <xdr:col>5</xdr:col>
      <xdr:colOff>0</xdr:colOff>
      <xdr:row>202</xdr:row>
      <xdr:rowOff>0</xdr:rowOff>
    </xdr:to>
    <xdr:sp macro="" textlink="">
      <xdr:nvSpPr>
        <xdr:cNvPr id="8224" name="Text Box 32"/>
        <xdr:cNvSpPr txBox="1">
          <a:spLocks noChangeArrowheads="1"/>
        </xdr:cNvSpPr>
      </xdr:nvSpPr>
      <xdr:spPr bwMode="auto">
        <a:xfrm>
          <a:off x="3810000" y="42481500"/>
          <a:ext cx="3914775" cy="9620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1.1.1.5 CONFORT SONORO DIURNO.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el día (de 8 a 22 horas).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Zona                                Hospitalaria/escolar  Residencial  Comercial  Industrial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Máx. admisible dB(A)                   45                         55               60            70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4</xdr:col>
      <xdr:colOff>1295400</xdr:colOff>
      <xdr:row>19</xdr:row>
      <xdr:rowOff>142875</xdr:rowOff>
    </xdr:to>
    <xdr:graphicFrame macro="">
      <xdr:nvGraphicFramePr>
        <xdr:cNvPr id="22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19</xdr:row>
      <xdr:rowOff>152400</xdr:rowOff>
    </xdr:from>
    <xdr:to>
      <xdr:col>5</xdr:col>
      <xdr:colOff>0</xdr:colOff>
      <xdr:row>27</xdr:row>
      <xdr:rowOff>0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3810000" y="4762500"/>
          <a:ext cx="3914775" cy="11430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1.1.1.6 CONFORT SONORO NOCTURNO.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la noche (de 22 a 8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dB(A): 35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dB(A): 50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76200</xdr:colOff>
      <xdr:row>44</xdr:row>
      <xdr:rowOff>0</xdr:rowOff>
    </xdr:from>
    <xdr:to>
      <xdr:col>4</xdr:col>
      <xdr:colOff>704850</xdr:colOff>
      <xdr:row>44</xdr:row>
      <xdr:rowOff>0</xdr:rowOff>
    </xdr:to>
    <xdr:graphicFrame macro="">
      <xdr:nvGraphicFramePr>
        <xdr:cNvPr id="225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4</xdr:col>
      <xdr:colOff>1295400</xdr:colOff>
      <xdr:row>49</xdr:row>
      <xdr:rowOff>0</xdr:rowOff>
    </xdr:to>
    <xdr:graphicFrame macro="">
      <xdr:nvGraphicFramePr>
        <xdr:cNvPr id="225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48</xdr:row>
      <xdr:rowOff>152400</xdr:rowOff>
    </xdr:from>
    <xdr:to>
      <xdr:col>5</xdr:col>
      <xdr:colOff>0</xdr:colOff>
      <xdr:row>56</xdr:row>
      <xdr:rowOff>0</xdr:rowOff>
    </xdr:to>
    <xdr:sp macro="" textlink="">
      <xdr:nvSpPr>
        <xdr:cNvPr id="22533" name="Text Box 5"/>
        <xdr:cNvSpPr txBox="1">
          <a:spLocks noChangeArrowheads="1"/>
        </xdr:cNvSpPr>
      </xdr:nvSpPr>
      <xdr:spPr bwMode="auto">
        <a:xfrm>
          <a:off x="3810000" y="10991850"/>
          <a:ext cx="3914775" cy="11430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1.1.1.6 CONFORT SONORO NOCTURNO.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la noche (de 22 a 8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dB(A): 45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dB(A): 60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65</xdr:row>
      <xdr:rowOff>9525</xdr:rowOff>
    </xdr:from>
    <xdr:to>
      <xdr:col>5</xdr:col>
      <xdr:colOff>0</xdr:colOff>
      <xdr:row>78</xdr:row>
      <xdr:rowOff>9525</xdr:rowOff>
    </xdr:to>
    <xdr:graphicFrame macro="">
      <xdr:nvGraphicFramePr>
        <xdr:cNvPr id="2253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78</xdr:row>
      <xdr:rowOff>9525</xdr:rowOff>
    </xdr:from>
    <xdr:to>
      <xdr:col>5</xdr:col>
      <xdr:colOff>0</xdr:colOff>
      <xdr:row>85</xdr:row>
      <xdr:rowOff>0</xdr:rowOff>
    </xdr:to>
    <xdr:sp macro="" textlink="">
      <xdr:nvSpPr>
        <xdr:cNvPr id="22535" name="Text Box 7"/>
        <xdr:cNvSpPr txBox="1">
          <a:spLocks noChangeArrowheads="1"/>
        </xdr:cNvSpPr>
      </xdr:nvSpPr>
      <xdr:spPr bwMode="auto">
        <a:xfrm>
          <a:off x="3810000" y="17240250"/>
          <a:ext cx="3914775" cy="1123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1.1.1.6 CONFORT SONORO NOCTURNO.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la noche (de 22 a 8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dB(A): 55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dB(A): 65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94</xdr:row>
      <xdr:rowOff>9525</xdr:rowOff>
    </xdr:from>
    <xdr:to>
      <xdr:col>5</xdr:col>
      <xdr:colOff>0</xdr:colOff>
      <xdr:row>107</xdr:row>
      <xdr:rowOff>9525</xdr:rowOff>
    </xdr:to>
    <xdr:graphicFrame macro="">
      <xdr:nvGraphicFramePr>
        <xdr:cNvPr id="2253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0</xdr:colOff>
      <xdr:row>107</xdr:row>
      <xdr:rowOff>9525</xdr:rowOff>
    </xdr:from>
    <xdr:to>
      <xdr:col>5</xdr:col>
      <xdr:colOff>0</xdr:colOff>
      <xdr:row>114</xdr:row>
      <xdr:rowOff>0</xdr:rowOff>
    </xdr:to>
    <xdr:sp macro="" textlink="">
      <xdr:nvSpPr>
        <xdr:cNvPr id="22537" name="Text Box 9"/>
        <xdr:cNvSpPr txBox="1">
          <a:spLocks noChangeArrowheads="1"/>
        </xdr:cNvSpPr>
      </xdr:nvSpPr>
      <xdr:spPr bwMode="auto">
        <a:xfrm>
          <a:off x="3810000" y="23469600"/>
          <a:ext cx="3914775" cy="1123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1.1.1.6 CONFORT SONORO NOCTURNO.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la noche (de 22 a 8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Máximo admisible dB(A): 55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dB(A): 65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135</xdr:row>
      <xdr:rowOff>152400</xdr:rowOff>
    </xdr:from>
    <xdr:to>
      <xdr:col>5</xdr:col>
      <xdr:colOff>0</xdr:colOff>
      <xdr:row>146</xdr:row>
      <xdr:rowOff>0</xdr:rowOff>
    </xdr:to>
    <xdr:sp macro="" textlink="">
      <xdr:nvSpPr>
        <xdr:cNvPr id="22538" name="Text Box 10"/>
        <xdr:cNvSpPr txBox="1">
          <a:spLocks noChangeArrowheads="1"/>
        </xdr:cNvSpPr>
      </xdr:nvSpPr>
      <xdr:spPr bwMode="auto">
        <a:xfrm>
          <a:off x="3810000" y="29679900"/>
          <a:ext cx="3914775" cy="16287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1.1.1.6 CONFORT SONORO NOCTURNO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la noche (de 22 a 8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 según la zona: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Zona                                Hospitalaria/escolar  Residencial  Comercial  Industrial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Máx. admisible dB(A)                    35                         45              55            55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                           50                         60              65            65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cuando el efecto es distinto según la zona. Se mide el promedio en n zonas homogéneas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676275</xdr:colOff>
      <xdr:row>118</xdr:row>
      <xdr:rowOff>0</xdr:rowOff>
    </xdr:from>
    <xdr:to>
      <xdr:col>1</xdr:col>
      <xdr:colOff>1828800</xdr:colOff>
      <xdr:row>119</xdr:row>
      <xdr:rowOff>38100</xdr:rowOff>
    </xdr:to>
    <xdr:pic>
      <xdr:nvPicPr>
        <xdr:cNvPr id="225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52650" y="25679400"/>
          <a:ext cx="1152525" cy="4191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5</xdr:col>
      <xdr:colOff>0</xdr:colOff>
      <xdr:row>136</xdr:row>
      <xdr:rowOff>0</xdr:rowOff>
    </xdr:to>
    <xdr:graphicFrame macro="">
      <xdr:nvGraphicFramePr>
        <xdr:cNvPr id="2254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714375</xdr:colOff>
      <xdr:row>150</xdr:row>
      <xdr:rowOff>9525</xdr:rowOff>
    </xdr:from>
    <xdr:to>
      <xdr:col>1</xdr:col>
      <xdr:colOff>1828800</xdr:colOff>
      <xdr:row>151</xdr:row>
      <xdr:rowOff>0</xdr:rowOff>
    </xdr:to>
    <xdr:pic>
      <xdr:nvPicPr>
        <xdr:cNvPr id="2254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90750" y="32404050"/>
          <a:ext cx="1114425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155</xdr:row>
      <xdr:rowOff>0</xdr:rowOff>
    </xdr:from>
    <xdr:to>
      <xdr:col>4</xdr:col>
      <xdr:colOff>1295400</xdr:colOff>
      <xdr:row>168</xdr:row>
      <xdr:rowOff>0</xdr:rowOff>
    </xdr:to>
    <xdr:graphicFrame macro="">
      <xdr:nvGraphicFramePr>
        <xdr:cNvPr id="225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168</xdr:row>
      <xdr:rowOff>0</xdr:rowOff>
    </xdr:from>
    <xdr:to>
      <xdr:col>5</xdr:col>
      <xdr:colOff>0</xdr:colOff>
      <xdr:row>176</xdr:row>
      <xdr:rowOff>0</xdr:rowOff>
    </xdr:to>
    <xdr:sp macro="" textlink="">
      <xdr:nvSpPr>
        <xdr:cNvPr id="22543" name="Text Box 15"/>
        <xdr:cNvSpPr txBox="1">
          <a:spLocks noChangeArrowheads="1"/>
        </xdr:cNvSpPr>
      </xdr:nvSpPr>
      <xdr:spPr bwMode="auto">
        <a:xfrm>
          <a:off x="3810000" y="36404550"/>
          <a:ext cx="3914775" cy="12954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1.1.1.6 CONFORT SONORO NOCTURNO.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la noche (de 22 a 8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 según la zona: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Zona                                Hospitalaria/escolar  Residencial  Comercial  Industrial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Máx. admisible dB(A)                    35                         45              55            55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Intolerable dB(A)                           50                         60              65            65</a:t>
          </a: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180</xdr:row>
      <xdr:rowOff>0</xdr:rowOff>
    </xdr:from>
    <xdr:to>
      <xdr:col>1</xdr:col>
      <xdr:colOff>2286000</xdr:colOff>
      <xdr:row>180</xdr:row>
      <xdr:rowOff>361950</xdr:rowOff>
    </xdr:to>
    <xdr:pic>
      <xdr:nvPicPr>
        <xdr:cNvPr id="2254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14475" y="38785800"/>
          <a:ext cx="2247900" cy="3619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185</xdr:row>
      <xdr:rowOff>0</xdr:rowOff>
    </xdr:from>
    <xdr:to>
      <xdr:col>5</xdr:col>
      <xdr:colOff>0</xdr:colOff>
      <xdr:row>198</xdr:row>
      <xdr:rowOff>0</xdr:rowOff>
    </xdr:to>
    <xdr:graphicFrame macro="">
      <xdr:nvGraphicFramePr>
        <xdr:cNvPr id="2254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198</xdr:row>
      <xdr:rowOff>0</xdr:rowOff>
    </xdr:from>
    <xdr:to>
      <xdr:col>5</xdr:col>
      <xdr:colOff>0</xdr:colOff>
      <xdr:row>204</xdr:row>
      <xdr:rowOff>0</xdr:rowOff>
    </xdr:to>
    <xdr:sp macro="" textlink="">
      <xdr:nvSpPr>
        <xdr:cNvPr id="22546" name="Text Box 18"/>
        <xdr:cNvSpPr txBox="1">
          <a:spLocks noChangeArrowheads="1"/>
        </xdr:cNvSpPr>
      </xdr:nvSpPr>
      <xdr:spPr bwMode="auto">
        <a:xfrm>
          <a:off x="3810000" y="42795825"/>
          <a:ext cx="391477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1.1.1.6 CONFORT SONORO NOCTURNO.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Nivel sonoro durante la noche (de 22 a 8 horas).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 según la zona: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Zona                                Hospitalaria/escolar  Residencial  Comercial  Industrial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Máx. admisible dB(A)                    35                         45              55            55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3313" name="Text Box 1025"/>
        <xdr:cNvSpPr txBox="1">
          <a:spLocks noChangeArrowheads="1"/>
        </xdr:cNvSpPr>
      </xdr:nvSpPr>
      <xdr:spPr bwMode="auto">
        <a:xfrm>
          <a:off x="3810000" y="4772025"/>
          <a:ext cx="391477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1.1.1.7 SPRAY MARINO.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spray marino es la fracción atmosférica procedente del mar , producida por el viento y el oleaje.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signo es positibo si aumenta el spray marino y negativo si disminuye. Se considerarán sólo las comunicaciones de vegetación de alto o medio valor.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6</xdr:row>
      <xdr:rowOff>371475</xdr:rowOff>
    </xdr:from>
    <xdr:to>
      <xdr:col>5</xdr:col>
      <xdr:colOff>0</xdr:colOff>
      <xdr:row>20</xdr:row>
      <xdr:rowOff>0</xdr:rowOff>
    </xdr:to>
    <xdr:graphicFrame macro="">
      <xdr:nvGraphicFramePr>
        <xdr:cNvPr id="13315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2</xdr:row>
      <xdr:rowOff>0</xdr:rowOff>
    </xdr:from>
    <xdr:to>
      <xdr:col>1</xdr:col>
      <xdr:colOff>2124075</xdr:colOff>
      <xdr:row>3</xdr:row>
      <xdr:rowOff>0</xdr:rowOff>
    </xdr:to>
    <xdr:pic>
      <xdr:nvPicPr>
        <xdr:cNvPr id="13316" name="Picture 10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762000"/>
          <a:ext cx="1676400" cy="381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4</xdr:col>
      <xdr:colOff>1295400</xdr:colOff>
      <xdr:row>25</xdr:row>
      <xdr:rowOff>0</xdr:rowOff>
    </xdr:to>
    <xdr:sp macro="" textlink="" fLocksText="0">
      <xdr:nvSpPr>
        <xdr:cNvPr id="15361" name="Text Box 1"/>
        <xdr:cNvSpPr txBox="1">
          <a:spLocks noChangeArrowheads="1"/>
        </xdr:cNvSpPr>
      </xdr:nvSpPr>
      <xdr:spPr bwMode="auto">
        <a:xfrm>
          <a:off x="3810000" y="4772025"/>
          <a:ext cx="3905250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1.1.1.8 CALIDAD PERCEPTIBLE DEL AIRE.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su olor y visibilidad.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dan valores entre 0 y 1 según el grado de visibilidad.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9525</xdr:colOff>
      <xdr:row>20</xdr:row>
      <xdr:rowOff>0</xdr:rowOff>
    </xdr:to>
    <xdr:graphicFrame macro="">
      <xdr:nvGraphicFramePr>
        <xdr:cNvPr id="15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34</xdr:row>
      <xdr:rowOff>0</xdr:rowOff>
    </xdr:from>
    <xdr:to>
      <xdr:col>4</xdr:col>
      <xdr:colOff>1295400</xdr:colOff>
      <xdr:row>47</xdr:row>
      <xdr:rowOff>9525</xdr:rowOff>
    </xdr:to>
    <xdr:graphicFrame macro="">
      <xdr:nvGraphicFramePr>
        <xdr:cNvPr id="153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4</xdr:col>
      <xdr:colOff>1295400</xdr:colOff>
      <xdr:row>52</xdr:row>
      <xdr:rowOff>0</xdr:rowOff>
    </xdr:to>
    <xdr:sp macro="" textlink="" fLocksText="0">
      <xdr:nvSpPr>
        <xdr:cNvPr id="15368" name="Text Box 8"/>
        <xdr:cNvSpPr txBox="1">
          <a:spLocks noChangeArrowheads="1"/>
        </xdr:cNvSpPr>
      </xdr:nvSpPr>
      <xdr:spPr bwMode="auto">
        <a:xfrm>
          <a:off x="3810000" y="10677525"/>
          <a:ext cx="3905250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1.1.1.8 CALIDAD PERCEPTIBLE DEL AIRE.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su olor y visibilidad.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dan valores entre 0 y 1 según el grado de visibilidad.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4</xdr:col>
      <xdr:colOff>1295400</xdr:colOff>
      <xdr:row>74</xdr:row>
      <xdr:rowOff>9525</xdr:rowOff>
    </xdr:to>
    <xdr:graphicFrame macro="">
      <xdr:nvGraphicFramePr>
        <xdr:cNvPr id="1536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74</xdr:row>
      <xdr:rowOff>0</xdr:rowOff>
    </xdr:from>
    <xdr:to>
      <xdr:col>4</xdr:col>
      <xdr:colOff>1295400</xdr:colOff>
      <xdr:row>79</xdr:row>
      <xdr:rowOff>0</xdr:rowOff>
    </xdr:to>
    <xdr:sp macro="" textlink="" fLocksText="0">
      <xdr:nvSpPr>
        <xdr:cNvPr id="15370" name="Text Box 10"/>
        <xdr:cNvSpPr txBox="1">
          <a:spLocks noChangeArrowheads="1"/>
        </xdr:cNvSpPr>
      </xdr:nvSpPr>
      <xdr:spPr bwMode="auto">
        <a:xfrm>
          <a:off x="3810000" y="16583025"/>
          <a:ext cx="3905250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1.1.1.8 CALIDAD PERCEPTIBLE DEL AIRE.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su olor y visibilidad.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dan valores entre 0 y 1 según el grado de visibilidad.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9525</xdr:rowOff>
    </xdr:from>
    <xdr:to>
      <xdr:col>5</xdr:col>
      <xdr:colOff>0</xdr:colOff>
      <xdr:row>20</xdr:row>
      <xdr:rowOff>0</xdr:rowOff>
    </xdr:to>
    <xdr:graphicFrame macro="">
      <xdr:nvGraphicFramePr>
        <xdr:cNvPr id="1638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2</xdr:col>
      <xdr:colOff>0</xdr:colOff>
      <xdr:row>146</xdr:row>
      <xdr:rowOff>0</xdr:rowOff>
    </xdr:from>
    <xdr:to>
      <xdr:col>5</xdr:col>
      <xdr:colOff>9525</xdr:colOff>
      <xdr:row>153</xdr:row>
      <xdr:rowOff>0</xdr:rowOff>
    </xdr:to>
    <xdr:sp macro="" textlink="" fLocksText="0">
      <xdr:nvSpPr>
        <xdr:cNvPr id="16393" name="Text Box 1033"/>
        <xdr:cNvSpPr txBox="1">
          <a:spLocks noChangeArrowheads="1"/>
        </xdr:cNvSpPr>
      </xdr:nvSpPr>
      <xdr:spPr bwMode="auto">
        <a:xfrm>
          <a:off x="3810000" y="31308675"/>
          <a:ext cx="3924300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1.1.1.9 POLVO, HUMOS Y PARTÍCULAS EN SUSPENSION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D= deposición (g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día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-1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=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afectados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 =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entorno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Ci = coeficiente de interés de la superficie afectada, vale de 0 a 6</a:t>
          </a: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4</xdr:col>
      <xdr:colOff>1295400</xdr:colOff>
      <xdr:row>29</xdr:row>
      <xdr:rowOff>152400</xdr:rowOff>
    </xdr:to>
    <xdr:sp macro="" textlink="" fLocksText="0">
      <xdr:nvSpPr>
        <xdr:cNvPr id="16395" name="Text Box 1035"/>
        <xdr:cNvSpPr txBox="1">
          <a:spLocks noChangeArrowheads="1"/>
        </xdr:cNvSpPr>
      </xdr:nvSpPr>
      <xdr:spPr bwMode="auto">
        <a:xfrm>
          <a:off x="3810000" y="4772025"/>
          <a:ext cx="3905250" cy="16097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1.1.1.9 POLVO, HUMOS Y PARTÍCULAS EN SUSPENSION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300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130 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600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1600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ambiente).</a:t>
          </a:r>
        </a:p>
      </xdr:txBody>
    </xdr:sp>
    <xdr:clientData/>
  </xdr:twoCellAnchor>
  <xdr:twoCellAnchor editAs="oneCell">
    <xdr:from>
      <xdr:col>1</xdr:col>
      <xdr:colOff>733425</xdr:colOff>
      <xdr:row>34</xdr:row>
      <xdr:rowOff>9525</xdr:rowOff>
    </xdr:from>
    <xdr:to>
      <xdr:col>1</xdr:col>
      <xdr:colOff>1533525</xdr:colOff>
      <xdr:row>35</xdr:row>
      <xdr:rowOff>28575</xdr:rowOff>
    </xdr:to>
    <xdr:pic>
      <xdr:nvPicPr>
        <xdr:cNvPr id="16396" name="Picture 10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9800" y="7486650"/>
          <a:ext cx="800100" cy="400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9525</xdr:rowOff>
    </xdr:from>
    <xdr:to>
      <xdr:col>5</xdr:col>
      <xdr:colOff>0</xdr:colOff>
      <xdr:row>52</xdr:row>
      <xdr:rowOff>0</xdr:rowOff>
    </xdr:to>
    <xdr:graphicFrame macro="">
      <xdr:nvGraphicFramePr>
        <xdr:cNvPr id="16399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2</xdr:col>
      <xdr:colOff>0</xdr:colOff>
      <xdr:row>52</xdr:row>
      <xdr:rowOff>0</xdr:rowOff>
    </xdr:from>
    <xdr:to>
      <xdr:col>4</xdr:col>
      <xdr:colOff>1295400</xdr:colOff>
      <xdr:row>64</xdr:row>
      <xdr:rowOff>0</xdr:rowOff>
    </xdr:to>
    <xdr:sp macro="" textlink="" fLocksText="0">
      <xdr:nvSpPr>
        <xdr:cNvPr id="16400" name="Text Box 1040"/>
        <xdr:cNvSpPr txBox="1">
          <a:spLocks noChangeArrowheads="1"/>
        </xdr:cNvSpPr>
      </xdr:nvSpPr>
      <xdr:spPr bwMode="auto">
        <a:xfrm>
          <a:off x="3810000" y="11487150"/>
          <a:ext cx="3905250" cy="1943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1.1.1.9 POLVO, HUMOS Y PARTÍCULAS EN SUSPENSION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300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130 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600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1600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cuando el efecto es distinto según la zona. Se mide el promedio en n zonas homogéneas.</a:t>
          </a:r>
        </a:p>
      </xdr:txBody>
    </xdr:sp>
    <xdr:clientData/>
  </xdr:twoCellAnchor>
  <xdr:twoCellAnchor editAs="oneCell">
    <xdr:from>
      <xdr:col>1</xdr:col>
      <xdr:colOff>742950</xdr:colOff>
      <xdr:row>68</xdr:row>
      <xdr:rowOff>0</xdr:rowOff>
    </xdr:from>
    <xdr:to>
      <xdr:col>1</xdr:col>
      <xdr:colOff>1524000</xdr:colOff>
      <xdr:row>68</xdr:row>
      <xdr:rowOff>371475</xdr:rowOff>
    </xdr:to>
    <xdr:pic>
      <xdr:nvPicPr>
        <xdr:cNvPr id="16401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19325" y="14516100"/>
          <a:ext cx="781050" cy="3714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9525</xdr:rowOff>
    </xdr:from>
    <xdr:to>
      <xdr:col>5</xdr:col>
      <xdr:colOff>0</xdr:colOff>
      <xdr:row>86</xdr:row>
      <xdr:rowOff>0</xdr:rowOff>
    </xdr:to>
    <xdr:graphicFrame macro="">
      <xdr:nvGraphicFramePr>
        <xdr:cNvPr id="16402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0</xdr:colOff>
      <xdr:row>85</xdr:row>
      <xdr:rowOff>152400</xdr:rowOff>
    </xdr:from>
    <xdr:to>
      <xdr:col>4</xdr:col>
      <xdr:colOff>1295400</xdr:colOff>
      <xdr:row>97</xdr:row>
      <xdr:rowOff>152400</xdr:rowOff>
    </xdr:to>
    <xdr:sp macro="" textlink="" fLocksText="0">
      <xdr:nvSpPr>
        <xdr:cNvPr id="16403" name="Text Box 1043"/>
        <xdr:cNvSpPr txBox="1">
          <a:spLocks noChangeArrowheads="1"/>
        </xdr:cNvSpPr>
      </xdr:nvSpPr>
      <xdr:spPr bwMode="auto">
        <a:xfrm>
          <a:off x="3810000" y="18516600"/>
          <a:ext cx="3905250" cy="1943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1.1.1.9 POLVO, HUMOS Y PARTÍCULAS EN SUSPENSION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Niveles de referencia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admisible         300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límite:                      130 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 8h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Emergencia 1º grado       600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Situación inadmisible     1600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(Valor límite es el que no debe superarse para evitar, prevenir o reducir los efectos nocivos para la salud y para el medio ambiente)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valor promedio en función de la población existente en las n zonas homogéneas.</a:t>
          </a:r>
        </a:p>
      </xdr:txBody>
    </xdr:sp>
    <xdr:clientData/>
  </xdr:twoCellAnchor>
  <xdr:twoCellAnchor editAs="oneCell">
    <xdr:from>
      <xdr:col>1</xdr:col>
      <xdr:colOff>95250</xdr:colOff>
      <xdr:row>102</xdr:row>
      <xdr:rowOff>28575</xdr:rowOff>
    </xdr:from>
    <xdr:to>
      <xdr:col>1</xdr:col>
      <xdr:colOff>2247900</xdr:colOff>
      <xdr:row>103</xdr:row>
      <xdr:rowOff>0</xdr:rowOff>
    </xdr:to>
    <xdr:pic>
      <xdr:nvPicPr>
        <xdr:cNvPr id="16404" name="Picture 104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71625" y="21583650"/>
          <a:ext cx="2152650" cy="3524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152400</xdr:rowOff>
    </xdr:from>
    <xdr:to>
      <xdr:col>4</xdr:col>
      <xdr:colOff>1295400</xdr:colOff>
      <xdr:row>124</xdr:row>
      <xdr:rowOff>0</xdr:rowOff>
    </xdr:to>
    <xdr:sp macro="" textlink="" fLocksText="0">
      <xdr:nvSpPr>
        <xdr:cNvPr id="16405" name="Text Box 1045"/>
        <xdr:cNvSpPr txBox="1">
          <a:spLocks noChangeArrowheads="1"/>
        </xdr:cNvSpPr>
      </xdr:nvSpPr>
      <xdr:spPr bwMode="auto">
        <a:xfrm>
          <a:off x="3810000" y="25555575"/>
          <a:ext cx="3905250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1.1.1.9 POLVO, HUMOS Y PARTÍCULAS EN SUSPENSION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Maximo admisible         300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en 24h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107</xdr:row>
      <xdr:rowOff>0</xdr:rowOff>
    </xdr:from>
    <xdr:to>
      <xdr:col>5</xdr:col>
      <xdr:colOff>9525</xdr:colOff>
      <xdr:row>120</xdr:row>
      <xdr:rowOff>0</xdr:rowOff>
    </xdr:to>
    <xdr:graphicFrame macro="">
      <xdr:nvGraphicFramePr>
        <xdr:cNvPr id="16406" name="Chart 10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866775</xdr:colOff>
      <xdr:row>128</xdr:row>
      <xdr:rowOff>28575</xdr:rowOff>
    </xdr:from>
    <xdr:to>
      <xdr:col>1</xdr:col>
      <xdr:colOff>1362075</xdr:colOff>
      <xdr:row>129</xdr:row>
      <xdr:rowOff>0</xdr:rowOff>
    </xdr:to>
    <xdr:pic>
      <xdr:nvPicPr>
        <xdr:cNvPr id="16407" name="Picture 104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43150" y="27327225"/>
          <a:ext cx="495300" cy="352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133</xdr:row>
      <xdr:rowOff>0</xdr:rowOff>
    </xdr:from>
    <xdr:to>
      <xdr:col>5</xdr:col>
      <xdr:colOff>0</xdr:colOff>
      <xdr:row>146</xdr:row>
      <xdr:rowOff>9525</xdr:rowOff>
    </xdr:to>
    <xdr:graphicFrame macro="">
      <xdr:nvGraphicFramePr>
        <xdr:cNvPr id="16408" name="Chart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5</xdr:col>
      <xdr:colOff>0</xdr:colOff>
      <xdr:row>28</xdr:row>
      <xdr:rowOff>152400</xdr:rowOff>
    </xdr:to>
    <xdr:sp macro="" textlink="" fLocksText="0">
      <xdr:nvSpPr>
        <xdr:cNvPr id="18433" name="Text Box 1025"/>
        <xdr:cNvSpPr txBox="1">
          <a:spLocks noChangeArrowheads="1"/>
        </xdr:cNvSpPr>
      </xdr:nvSpPr>
      <xdr:spPr bwMode="auto">
        <a:xfrm>
          <a:off x="3810000" y="4772025"/>
          <a:ext cx="3914775" cy="14478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1.1.1.A OLORES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9525</xdr:rowOff>
    </xdr:to>
    <xdr:graphicFrame macro="">
      <xdr:nvGraphicFramePr>
        <xdr:cNvPr id="1843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152400</xdr:colOff>
      <xdr:row>22</xdr:row>
      <xdr:rowOff>38100</xdr:rowOff>
    </xdr:from>
    <xdr:to>
      <xdr:col>4</xdr:col>
      <xdr:colOff>104775</xdr:colOff>
      <xdr:row>28</xdr:row>
      <xdr:rowOff>28575</xdr:rowOff>
    </xdr:to>
    <xdr:pic>
      <xdr:nvPicPr>
        <xdr:cNvPr id="18444" name="Picture 10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52921" b="13055"/>
        <a:stretch>
          <a:fillRect/>
        </a:stretch>
      </xdr:blipFill>
      <xdr:spPr bwMode="auto">
        <a:xfrm>
          <a:off x="3962400" y="5133975"/>
          <a:ext cx="2562225" cy="9620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24</xdr:row>
      <xdr:rowOff>0</xdr:rowOff>
    </xdr:to>
    <xdr:sp macro="" textlink="" fLocksText="0">
      <xdr:nvSpPr>
        <xdr:cNvPr id="20483" name="Text Box 3"/>
        <xdr:cNvSpPr txBox="1">
          <a:spLocks noChangeArrowheads="1"/>
        </xdr:cNvSpPr>
      </xdr:nvSpPr>
      <xdr:spPr bwMode="auto">
        <a:xfrm>
          <a:off x="3810000" y="4762500"/>
          <a:ext cx="391477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1.1.1.X. OTROS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legislación sólo ha fijado el valor límite del Pb = 2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gN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752475</xdr:colOff>
      <xdr:row>28</xdr:row>
      <xdr:rowOff>0</xdr:rowOff>
    </xdr:from>
    <xdr:to>
      <xdr:col>1</xdr:col>
      <xdr:colOff>1552575</xdr:colOff>
      <xdr:row>29</xdr:row>
      <xdr:rowOff>28575</xdr:rowOff>
    </xdr:to>
    <xdr:pic>
      <xdr:nvPicPr>
        <xdr:cNvPr id="204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28850" y="6505575"/>
          <a:ext cx="800100" cy="4095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133350</xdr:colOff>
      <xdr:row>84</xdr:row>
      <xdr:rowOff>9525</xdr:rowOff>
    </xdr:from>
    <xdr:to>
      <xdr:col>1</xdr:col>
      <xdr:colOff>2276475</xdr:colOff>
      <xdr:row>84</xdr:row>
      <xdr:rowOff>371475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9725" y="18649950"/>
          <a:ext cx="2143125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1533525</xdr:colOff>
      <xdr:row>56</xdr:row>
      <xdr:rowOff>371475</xdr:rowOff>
    </xdr:to>
    <xdr:pic>
      <xdr:nvPicPr>
        <xdr:cNvPr id="2049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57425" y="12573000"/>
          <a:ext cx="752475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5</xdr:col>
      <xdr:colOff>0</xdr:colOff>
      <xdr:row>46</xdr:row>
      <xdr:rowOff>0</xdr:rowOff>
    </xdr:to>
    <xdr:graphicFrame macro="">
      <xdr:nvGraphicFramePr>
        <xdr:cNvPr id="204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61</xdr:row>
      <xdr:rowOff>0</xdr:rowOff>
    </xdr:from>
    <xdr:to>
      <xdr:col>5</xdr:col>
      <xdr:colOff>0</xdr:colOff>
      <xdr:row>74</xdr:row>
      <xdr:rowOff>0</xdr:rowOff>
    </xdr:to>
    <xdr:graphicFrame macro="">
      <xdr:nvGraphicFramePr>
        <xdr:cNvPr id="2049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5</xdr:col>
      <xdr:colOff>0</xdr:colOff>
      <xdr:row>102</xdr:row>
      <xdr:rowOff>9525</xdr:rowOff>
    </xdr:to>
    <xdr:graphicFrame macro="">
      <xdr:nvGraphicFramePr>
        <xdr:cNvPr id="2049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5</xdr:col>
      <xdr:colOff>0</xdr:colOff>
      <xdr:row>52</xdr:row>
      <xdr:rowOff>9525</xdr:rowOff>
    </xdr:to>
    <xdr:sp macro="" textlink="" fLocksText="0">
      <xdr:nvSpPr>
        <xdr:cNvPr id="20497" name="Text Box 17"/>
        <xdr:cNvSpPr txBox="1">
          <a:spLocks noChangeArrowheads="1"/>
        </xdr:cNvSpPr>
      </xdr:nvSpPr>
      <xdr:spPr bwMode="auto">
        <a:xfrm>
          <a:off x="3810000" y="10515600"/>
          <a:ext cx="3914775" cy="9810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1.1.1.X OTROS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legislación sólo ha fijado el valor límite del Pb = 2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cuando el efecto es distinto según la zona. Se mide el promedio en las zonas n homogéneas.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73</xdr:row>
      <xdr:rowOff>152400</xdr:rowOff>
    </xdr:from>
    <xdr:to>
      <xdr:col>5</xdr:col>
      <xdr:colOff>0</xdr:colOff>
      <xdr:row>80</xdr:row>
      <xdr:rowOff>0</xdr:rowOff>
    </xdr:to>
    <xdr:sp macro="" textlink="" fLocksText="0">
      <xdr:nvSpPr>
        <xdr:cNvPr id="20499" name="Text Box 19"/>
        <xdr:cNvSpPr txBox="1">
          <a:spLocks noChangeArrowheads="1"/>
        </xdr:cNvSpPr>
      </xdr:nvSpPr>
      <xdr:spPr bwMode="auto">
        <a:xfrm>
          <a:off x="3810000" y="16573500"/>
          <a:ext cx="3914775" cy="9810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1.1.1.X OTROS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legislación sólo ha fijado el valor límite del Pb = 2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valor promedio en función de la población existente en las n zonas homogéneas</a:t>
          </a: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101</xdr:row>
      <xdr:rowOff>152400</xdr:rowOff>
    </xdr:from>
    <xdr:to>
      <xdr:col>5</xdr:col>
      <xdr:colOff>0</xdr:colOff>
      <xdr:row>107</xdr:row>
      <xdr:rowOff>0</xdr:rowOff>
    </xdr:to>
    <xdr:sp macro="" textlink="" fLocksText="0">
      <xdr:nvSpPr>
        <xdr:cNvPr id="20500" name="Text Box 20"/>
        <xdr:cNvSpPr txBox="1">
          <a:spLocks noChangeArrowheads="1"/>
        </xdr:cNvSpPr>
      </xdr:nvSpPr>
      <xdr:spPr bwMode="auto">
        <a:xfrm>
          <a:off x="3810000" y="22640925"/>
          <a:ext cx="3914775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 AIRE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1.1.1.X OTROS.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legislación sólo ha fijado el valor límite del Pb = 2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Como máximo admisible suele tomarse 1 </a:t>
          </a:r>
          <a:r>
            <a:rPr lang="es-ES" sz="800" b="0" i="0" u="none" strike="noStrike" baseline="0">
              <a:solidFill>
                <a:srgbClr val="000000"/>
              </a:solidFill>
              <a:latin typeface="Symbol"/>
            </a:rPr>
            <a:t>m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-3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21-0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15" sqref="B15"/>
    </sheetView>
  </sheetViews>
  <sheetFormatPr baseColWidth="10" defaultColWidth="13.33203125" defaultRowHeight="12.75"/>
  <cols>
    <col min="1" max="1" width="13.33203125" style="143"/>
    <col min="2" max="2" width="114.5" style="143" customWidth="1"/>
    <col min="3" max="16384" width="13.33203125" style="143"/>
  </cols>
  <sheetData>
    <row r="1" spans="1:2">
      <c r="A1" s="143" t="s">
        <v>199</v>
      </c>
      <c r="B1" s="143" t="s">
        <v>200</v>
      </c>
    </row>
    <row r="3" spans="1:2">
      <c r="A3" s="143" t="s">
        <v>201</v>
      </c>
      <c r="B3" s="143" t="s">
        <v>202</v>
      </c>
    </row>
    <row r="4" spans="1:2">
      <c r="B4" s="143" t="s">
        <v>203</v>
      </c>
    </row>
    <row r="5" spans="1:2">
      <c r="B5" s="143" t="s">
        <v>204</v>
      </c>
    </row>
    <row r="6" spans="1:2">
      <c r="B6" s="143" t="s">
        <v>205</v>
      </c>
    </row>
    <row r="8" spans="1:2">
      <c r="A8" s="143" t="s">
        <v>206</v>
      </c>
      <c r="B8" s="143" t="s">
        <v>207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F116"/>
  <sheetViews>
    <sheetView topLeftCell="A106" workbookViewId="0">
      <selection activeCell="A61" sqref="A61"/>
    </sheetView>
  </sheetViews>
  <sheetFormatPr baseColWidth="10" defaultRowHeight="12.95" customHeight="1"/>
  <cols>
    <col min="1" max="1" width="25.83203125" style="46" customWidth="1"/>
    <col min="2" max="2" width="40.83203125" style="46" customWidth="1"/>
    <col min="3" max="6" width="22.83203125" style="46" customWidth="1"/>
    <col min="7" max="16384" width="12" style="46"/>
  </cols>
  <sheetData>
    <row r="1" spans="1:5" ht="30" customHeight="1" thickTop="1">
      <c r="A1" s="8" t="s">
        <v>12</v>
      </c>
      <c r="B1" s="9">
        <v>1</v>
      </c>
      <c r="C1" s="68" t="s">
        <v>10</v>
      </c>
      <c r="D1" s="11" t="s">
        <v>29</v>
      </c>
      <c r="E1" s="12" t="s">
        <v>23</v>
      </c>
    </row>
    <row r="2" spans="1:5" ht="30" customHeight="1">
      <c r="A2" s="13" t="s">
        <v>7</v>
      </c>
      <c r="B2" s="1" t="s">
        <v>28</v>
      </c>
      <c r="C2" s="69"/>
      <c r="D2" s="2"/>
      <c r="E2" s="61"/>
    </row>
    <row r="3" spans="1:5" ht="30" customHeight="1">
      <c r="A3" s="13" t="s">
        <v>15</v>
      </c>
      <c r="B3" s="1"/>
      <c r="C3" s="69"/>
      <c r="D3" s="2"/>
      <c r="E3" s="61"/>
    </row>
    <row r="4" spans="1:5" ht="30" customHeight="1" thickBot="1">
      <c r="A4" s="13" t="s">
        <v>8</v>
      </c>
      <c r="B4" s="1" t="s">
        <v>21</v>
      </c>
      <c r="C4" s="70"/>
      <c r="D4" s="63"/>
      <c r="E4" s="64"/>
    </row>
    <row r="5" spans="1:5" ht="30" customHeight="1">
      <c r="A5" s="13" t="s">
        <v>9</v>
      </c>
      <c r="B5" s="1" t="s">
        <v>88</v>
      </c>
      <c r="C5" s="6" t="s">
        <v>11</v>
      </c>
      <c r="D5" s="6">
        <v>20</v>
      </c>
      <c r="E5" s="65"/>
    </row>
    <row r="6" spans="1:5" ht="30" customHeight="1" thickBot="1">
      <c r="A6" s="14" t="s">
        <v>16</v>
      </c>
      <c r="B6" s="16" t="s">
        <v>175</v>
      </c>
      <c r="C6" s="71" t="s">
        <v>0</v>
      </c>
      <c r="D6" s="7">
        <f>IF(D5&lt;0,"valor del indicador fuera de rango",IF(D5&lt;=100,(-0.000075*(D5^2))+(0.0175*D5),"valor del indicador fuera rango"))</f>
        <v>0.32000000000000006</v>
      </c>
      <c r="E6" s="66"/>
    </row>
    <row r="7" spans="1:5" ht="30" customHeight="1">
      <c r="A7" s="15" t="s">
        <v>14</v>
      </c>
      <c r="B7" s="3" t="s">
        <v>0</v>
      </c>
      <c r="C7" s="144" t="s">
        <v>13</v>
      </c>
      <c r="D7" s="144"/>
      <c r="E7" s="145"/>
    </row>
    <row r="8" spans="1:5" ht="12.95" customHeight="1">
      <c r="A8" s="28">
        <v>0</v>
      </c>
      <c r="B8" s="72">
        <f>-0.000075*(A8^2)+0.0175*A8</f>
        <v>0</v>
      </c>
      <c r="C8" s="47"/>
      <c r="D8" s="47"/>
      <c r="E8" s="48"/>
    </row>
    <row r="9" spans="1:5" ht="12.95" customHeight="1">
      <c r="A9" s="29">
        <f t="shared" ref="A9:A28" si="0">A8+5</f>
        <v>5</v>
      </c>
      <c r="B9" s="72">
        <f t="shared" ref="B9:B28" si="1">-0.000075*(A9^2)+0.0175*A9</f>
        <v>8.5625000000000007E-2</v>
      </c>
      <c r="C9" s="25"/>
      <c r="D9" s="47"/>
      <c r="E9" s="48"/>
    </row>
    <row r="10" spans="1:5" ht="12.95" customHeight="1">
      <c r="A10" s="29">
        <f t="shared" si="0"/>
        <v>10</v>
      </c>
      <c r="B10" s="72">
        <f t="shared" si="1"/>
        <v>0.16750000000000001</v>
      </c>
      <c r="C10" s="25"/>
      <c r="D10" s="47"/>
      <c r="E10" s="48"/>
    </row>
    <row r="11" spans="1:5" ht="12.95" customHeight="1">
      <c r="A11" s="29">
        <f t="shared" si="0"/>
        <v>15</v>
      </c>
      <c r="B11" s="72">
        <f t="shared" si="1"/>
        <v>0.24562500000000001</v>
      </c>
      <c r="C11" s="25"/>
      <c r="D11" s="47"/>
      <c r="E11" s="48"/>
    </row>
    <row r="12" spans="1:5" ht="12.95" customHeight="1">
      <c r="A12" s="29">
        <f t="shared" si="0"/>
        <v>20</v>
      </c>
      <c r="B12" s="72">
        <f t="shared" si="1"/>
        <v>0.32000000000000006</v>
      </c>
      <c r="C12" s="25"/>
      <c r="D12" s="47"/>
      <c r="E12" s="48"/>
    </row>
    <row r="13" spans="1:5" ht="12.95" customHeight="1">
      <c r="A13" s="29">
        <f t="shared" si="0"/>
        <v>25</v>
      </c>
      <c r="B13" s="72">
        <f t="shared" si="1"/>
        <v>0.39062500000000006</v>
      </c>
      <c r="C13" s="25"/>
      <c r="D13" s="47"/>
      <c r="E13" s="48"/>
    </row>
    <row r="14" spans="1:5" ht="12.95" customHeight="1">
      <c r="A14" s="29">
        <f t="shared" si="0"/>
        <v>30</v>
      </c>
      <c r="B14" s="72">
        <f t="shared" si="1"/>
        <v>0.45750000000000002</v>
      </c>
      <c r="C14" s="25"/>
      <c r="D14" s="47"/>
      <c r="E14" s="48"/>
    </row>
    <row r="15" spans="1:5" ht="12.95" customHeight="1">
      <c r="A15" s="29">
        <f t="shared" si="0"/>
        <v>35</v>
      </c>
      <c r="B15" s="72">
        <f t="shared" si="1"/>
        <v>0.520625</v>
      </c>
      <c r="C15" s="25"/>
      <c r="D15" s="47"/>
      <c r="E15" s="48"/>
    </row>
    <row r="16" spans="1:5" ht="12.95" customHeight="1">
      <c r="A16" s="29">
        <f t="shared" si="0"/>
        <v>40</v>
      </c>
      <c r="B16" s="72">
        <f t="shared" si="1"/>
        <v>0.58000000000000007</v>
      </c>
      <c r="C16" s="25"/>
      <c r="D16" s="47"/>
      <c r="E16" s="48"/>
    </row>
    <row r="17" spans="1:5" ht="12.95" customHeight="1">
      <c r="A17" s="29">
        <f t="shared" si="0"/>
        <v>45</v>
      </c>
      <c r="B17" s="72">
        <f t="shared" si="1"/>
        <v>0.63562500000000011</v>
      </c>
      <c r="C17" s="25"/>
      <c r="D17" s="47"/>
      <c r="E17" s="48"/>
    </row>
    <row r="18" spans="1:5" ht="12.95" customHeight="1">
      <c r="A18" s="29">
        <f t="shared" si="0"/>
        <v>50</v>
      </c>
      <c r="B18" s="72">
        <f t="shared" si="1"/>
        <v>0.68750000000000011</v>
      </c>
      <c r="C18" s="25"/>
      <c r="D18" s="47"/>
      <c r="E18" s="48"/>
    </row>
    <row r="19" spans="1:5" ht="12.95" customHeight="1">
      <c r="A19" s="29">
        <f t="shared" si="0"/>
        <v>55</v>
      </c>
      <c r="B19" s="72">
        <f t="shared" si="1"/>
        <v>0.7356250000000002</v>
      </c>
      <c r="C19" s="25"/>
      <c r="D19" s="47"/>
      <c r="E19" s="48"/>
    </row>
    <row r="20" spans="1:5" ht="12.95" customHeight="1">
      <c r="A20" s="29">
        <f t="shared" si="0"/>
        <v>60</v>
      </c>
      <c r="B20" s="72">
        <f t="shared" si="1"/>
        <v>0.78</v>
      </c>
      <c r="C20" s="25"/>
      <c r="D20" s="47"/>
      <c r="E20" s="48"/>
    </row>
    <row r="21" spans="1:5" ht="12.95" customHeight="1">
      <c r="A21" s="29">
        <f t="shared" si="0"/>
        <v>65</v>
      </c>
      <c r="B21" s="72">
        <f t="shared" si="1"/>
        <v>0.82062500000000016</v>
      </c>
      <c r="C21" s="25"/>
      <c r="D21" s="47"/>
      <c r="E21" s="48"/>
    </row>
    <row r="22" spans="1:5" ht="12.95" customHeight="1">
      <c r="A22" s="29">
        <f t="shared" si="0"/>
        <v>70</v>
      </c>
      <c r="B22" s="72">
        <f t="shared" si="1"/>
        <v>0.85750000000000015</v>
      </c>
      <c r="C22" s="25"/>
      <c r="D22" s="47"/>
      <c r="E22" s="48"/>
    </row>
    <row r="23" spans="1:5" ht="12.95" customHeight="1">
      <c r="A23" s="29">
        <f t="shared" si="0"/>
        <v>75</v>
      </c>
      <c r="B23" s="72">
        <f t="shared" si="1"/>
        <v>0.89062500000000022</v>
      </c>
      <c r="C23" s="25"/>
      <c r="D23" s="47"/>
      <c r="E23" s="48"/>
    </row>
    <row r="24" spans="1:5" ht="12.95" customHeight="1">
      <c r="A24" s="29">
        <f t="shared" si="0"/>
        <v>80</v>
      </c>
      <c r="B24" s="72">
        <f t="shared" si="1"/>
        <v>0.92000000000000015</v>
      </c>
      <c r="C24" s="25"/>
      <c r="D24" s="47"/>
      <c r="E24" s="48"/>
    </row>
    <row r="25" spans="1:5" ht="12.95" customHeight="1">
      <c r="A25" s="29">
        <f t="shared" si="0"/>
        <v>85</v>
      </c>
      <c r="B25" s="72">
        <f t="shared" si="1"/>
        <v>0.94562500000000005</v>
      </c>
      <c r="C25" s="25"/>
      <c r="D25" s="47"/>
      <c r="E25" s="48"/>
    </row>
    <row r="26" spans="1:5" ht="12.95" customHeight="1">
      <c r="A26" s="29">
        <f t="shared" si="0"/>
        <v>90</v>
      </c>
      <c r="B26" s="72">
        <f t="shared" si="1"/>
        <v>0.96750000000000025</v>
      </c>
      <c r="C26" s="25"/>
      <c r="D26" s="47"/>
      <c r="E26" s="48"/>
    </row>
    <row r="27" spans="1:5" ht="12.95" customHeight="1">
      <c r="A27" s="29">
        <f t="shared" si="0"/>
        <v>95</v>
      </c>
      <c r="B27" s="72">
        <f t="shared" si="1"/>
        <v>0.9856250000000002</v>
      </c>
      <c r="C27" s="25"/>
      <c r="D27" s="47"/>
      <c r="E27" s="48"/>
    </row>
    <row r="28" spans="1:5" ht="12.95" customHeight="1" thickBot="1">
      <c r="A28" s="79">
        <f t="shared" si="0"/>
        <v>100</v>
      </c>
      <c r="B28" s="72">
        <f t="shared" si="1"/>
        <v>1.0000000000000004</v>
      </c>
      <c r="C28" s="75"/>
      <c r="D28" s="76"/>
      <c r="E28" s="77"/>
    </row>
    <row r="29" spans="1:5" ht="12.95" customHeight="1">
      <c r="A29" s="80"/>
      <c r="B29" s="78"/>
      <c r="C29" s="75"/>
      <c r="D29" s="76"/>
      <c r="E29" s="77"/>
    </row>
    <row r="30" spans="1:5" ht="12.95" customHeight="1">
      <c r="A30" s="80"/>
      <c r="B30" s="78"/>
      <c r="C30" s="75"/>
      <c r="D30" s="76"/>
      <c r="E30" s="77"/>
    </row>
    <row r="31" spans="1:5" ht="12.95" customHeight="1">
      <c r="A31" s="80"/>
      <c r="B31" s="78"/>
      <c r="C31" s="75"/>
      <c r="D31" s="76"/>
      <c r="E31" s="77"/>
    </row>
    <row r="32" spans="1:5" ht="12.95" customHeight="1">
      <c r="A32" s="80"/>
      <c r="B32" s="78"/>
      <c r="C32" s="75"/>
      <c r="D32" s="76"/>
      <c r="E32" s="77"/>
    </row>
    <row r="33" spans="1:6" ht="12.95" customHeight="1">
      <c r="A33" s="81"/>
      <c r="B33" s="76"/>
      <c r="C33" s="76"/>
      <c r="D33" s="76"/>
      <c r="E33" s="77"/>
    </row>
    <row r="34" spans="1:6" s="74" customFormat="1" ht="12.95" customHeight="1">
      <c r="A34" s="81"/>
      <c r="B34" s="75"/>
      <c r="C34" s="75"/>
      <c r="D34" s="75"/>
      <c r="E34" s="82"/>
      <c r="F34" s="57"/>
    </row>
    <row r="35" spans="1:6" s="74" customFormat="1" ht="12.95" customHeight="1">
      <c r="A35" s="81"/>
      <c r="B35" s="75"/>
      <c r="C35" s="75"/>
      <c r="D35" s="75"/>
      <c r="E35" s="82"/>
      <c r="F35" s="57"/>
    </row>
    <row r="36" spans="1:6" s="74" customFormat="1" ht="12.95" customHeight="1">
      <c r="A36" s="81"/>
      <c r="B36" s="75"/>
      <c r="C36" s="75"/>
      <c r="D36" s="75"/>
      <c r="E36" s="82"/>
      <c r="F36" s="57"/>
    </row>
    <row r="37" spans="1:6" s="74" customFormat="1" ht="12.95" customHeight="1">
      <c r="A37" s="80"/>
      <c r="B37" s="75"/>
      <c r="C37" s="75"/>
      <c r="D37" s="75"/>
      <c r="E37" s="82"/>
      <c r="F37" s="57"/>
    </row>
    <row r="38" spans="1:6" s="74" customFormat="1" ht="12.95" customHeight="1">
      <c r="A38" s="80"/>
      <c r="B38" s="75"/>
      <c r="C38" s="75"/>
      <c r="D38" s="75"/>
      <c r="E38" s="82"/>
      <c r="F38" s="57"/>
    </row>
    <row r="39" spans="1:6" s="74" customFormat="1" ht="12.95" customHeight="1">
      <c r="A39" s="80"/>
      <c r="B39" s="75"/>
      <c r="C39" s="75"/>
      <c r="D39" s="75"/>
      <c r="E39" s="82"/>
      <c r="F39" s="57"/>
    </row>
    <row r="40" spans="1:6" s="74" customFormat="1" ht="12.95" customHeight="1">
      <c r="A40" s="80"/>
      <c r="B40" s="75"/>
      <c r="C40" s="75"/>
      <c r="D40" s="75"/>
      <c r="E40" s="82"/>
      <c r="F40" s="57"/>
    </row>
    <row r="41" spans="1:6" s="74" customFormat="1" ht="12.95" customHeight="1" thickBot="1">
      <c r="A41" s="110"/>
      <c r="B41" s="111"/>
      <c r="C41" s="111"/>
      <c r="D41" s="111"/>
      <c r="E41" s="112"/>
      <c r="F41" s="57"/>
    </row>
    <row r="42" spans="1:6" s="74" customFormat="1" ht="12.95" customHeight="1" thickTop="1">
      <c r="A42" s="57"/>
      <c r="B42" s="57"/>
      <c r="C42" s="57"/>
      <c r="D42" s="57"/>
      <c r="E42" s="57"/>
      <c r="F42" s="57"/>
    </row>
    <row r="43" spans="1:6" s="74" customFormat="1" ht="12.95" customHeight="1" thickBot="1">
      <c r="A43" s="57"/>
      <c r="B43" s="57"/>
      <c r="C43" s="57"/>
      <c r="D43" s="57"/>
      <c r="E43" s="57"/>
      <c r="F43" s="57"/>
    </row>
    <row r="44" spans="1:6" ht="30" customHeight="1" thickTop="1">
      <c r="A44" s="8" t="s">
        <v>12</v>
      </c>
      <c r="B44" s="9">
        <v>2</v>
      </c>
      <c r="C44" s="10" t="s">
        <v>10</v>
      </c>
      <c r="D44" s="11" t="s">
        <v>31</v>
      </c>
      <c r="E44" s="12" t="s">
        <v>32</v>
      </c>
    </row>
    <row r="45" spans="1:6" ht="30" customHeight="1">
      <c r="A45" s="13" t="s">
        <v>7</v>
      </c>
      <c r="B45" s="1" t="s">
        <v>30</v>
      </c>
      <c r="C45" s="60"/>
      <c r="D45" s="2" t="s">
        <v>34</v>
      </c>
      <c r="E45" s="61" t="s">
        <v>33</v>
      </c>
    </row>
    <row r="46" spans="1:6" ht="30" customHeight="1">
      <c r="A46" s="13" t="s">
        <v>15</v>
      </c>
      <c r="B46" s="1"/>
      <c r="C46" s="60"/>
      <c r="D46" s="2"/>
      <c r="E46" s="61"/>
    </row>
    <row r="47" spans="1:6" ht="30" customHeight="1" thickBot="1">
      <c r="A47" s="13" t="s">
        <v>8</v>
      </c>
      <c r="B47" s="1" t="s">
        <v>21</v>
      </c>
      <c r="C47" s="62"/>
      <c r="D47" s="63"/>
      <c r="E47" s="64"/>
    </row>
    <row r="48" spans="1:6" ht="30" customHeight="1">
      <c r="A48" s="13" t="s">
        <v>9</v>
      </c>
      <c r="B48" s="1" t="s">
        <v>86</v>
      </c>
      <c r="C48" s="4" t="s">
        <v>11</v>
      </c>
      <c r="D48" s="6">
        <v>55</v>
      </c>
      <c r="E48" s="65"/>
    </row>
    <row r="49" spans="1:5" ht="30" customHeight="1" thickBot="1">
      <c r="A49" s="14" t="s">
        <v>16</v>
      </c>
      <c r="B49" s="16" t="s">
        <v>175</v>
      </c>
      <c r="C49" s="5" t="s">
        <v>0</v>
      </c>
      <c r="D49" s="7">
        <f>IF(D48&lt;0,"valor del indicador fuera de rango",IF(D48&lt;=50,-0.0000966*(D48^2)-(0.00517*D48)+1,IF(D48&lt;=100,(0.0000912*(D48^2))-(0.0237*D48)+1.46,"valor del indicador fuera rango")))</f>
        <v>0.43237999999999999</v>
      </c>
      <c r="E49" s="66"/>
    </row>
    <row r="50" spans="1:5" ht="30" customHeight="1">
      <c r="A50" s="15" t="s">
        <v>14</v>
      </c>
      <c r="B50" s="3" t="s">
        <v>0</v>
      </c>
      <c r="C50" s="146" t="s">
        <v>13</v>
      </c>
      <c r="D50" s="144"/>
      <c r="E50" s="145"/>
    </row>
    <row r="51" spans="1:5" ht="12.95" customHeight="1">
      <c r="A51" s="28">
        <v>0</v>
      </c>
      <c r="B51" s="72">
        <f>-0.0000966*(A51^2)-(0.00517*A51)+1</f>
        <v>1</v>
      </c>
      <c r="C51" s="47"/>
      <c r="D51" s="47"/>
      <c r="E51" s="48"/>
    </row>
    <row r="52" spans="1:5" ht="12.95" customHeight="1">
      <c r="A52" s="29">
        <f>A51+5</f>
        <v>5</v>
      </c>
      <c r="B52" s="72">
        <f t="shared" ref="B52:B61" si="2">-0.0000966*(A52^2)-(0.00517*A52)+1</f>
        <v>0.97173500000000002</v>
      </c>
      <c r="C52" s="25"/>
      <c r="D52" s="47"/>
      <c r="E52" s="48"/>
    </row>
    <row r="53" spans="1:5" ht="12.95" customHeight="1">
      <c r="A53" s="29">
        <f t="shared" ref="A53:A71" si="3">A52+5</f>
        <v>10</v>
      </c>
      <c r="B53" s="72">
        <f t="shared" si="2"/>
        <v>0.93864000000000003</v>
      </c>
      <c r="C53" s="25"/>
      <c r="D53" s="47"/>
      <c r="E53" s="48"/>
    </row>
    <row r="54" spans="1:5" ht="12.95" customHeight="1">
      <c r="A54" s="29">
        <f t="shared" si="3"/>
        <v>15</v>
      </c>
      <c r="B54" s="72">
        <f t="shared" si="2"/>
        <v>0.90071499999999993</v>
      </c>
      <c r="C54" s="25"/>
      <c r="D54" s="47"/>
      <c r="E54" s="48"/>
    </row>
    <row r="55" spans="1:5" ht="12.95" customHeight="1">
      <c r="A55" s="29">
        <f t="shared" si="3"/>
        <v>20</v>
      </c>
      <c r="B55" s="72">
        <f t="shared" si="2"/>
        <v>0.85796000000000006</v>
      </c>
      <c r="C55" s="25"/>
      <c r="D55" s="47"/>
      <c r="E55" s="48"/>
    </row>
    <row r="56" spans="1:5" ht="12.95" customHeight="1">
      <c r="A56" s="29">
        <f t="shared" si="3"/>
        <v>25</v>
      </c>
      <c r="B56" s="72">
        <f t="shared" si="2"/>
        <v>0.81037499999999996</v>
      </c>
      <c r="C56" s="25"/>
      <c r="D56" s="47"/>
      <c r="E56" s="48"/>
    </row>
    <row r="57" spans="1:5" ht="12.95" customHeight="1">
      <c r="A57" s="29">
        <f t="shared" si="3"/>
        <v>30</v>
      </c>
      <c r="B57" s="72">
        <f t="shared" si="2"/>
        <v>0.75795999999999997</v>
      </c>
      <c r="C57" s="25"/>
      <c r="D57" s="47"/>
      <c r="E57" s="48"/>
    </row>
    <row r="58" spans="1:5" ht="12.95" customHeight="1">
      <c r="A58" s="29">
        <f t="shared" si="3"/>
        <v>35</v>
      </c>
      <c r="B58" s="72">
        <f t="shared" si="2"/>
        <v>0.70071499999999998</v>
      </c>
      <c r="C58" s="25"/>
      <c r="D58" s="47"/>
      <c r="E58" s="48"/>
    </row>
    <row r="59" spans="1:5" ht="12.95" customHeight="1">
      <c r="A59" s="29">
        <f t="shared" si="3"/>
        <v>40</v>
      </c>
      <c r="B59" s="72">
        <f t="shared" si="2"/>
        <v>0.63863999999999999</v>
      </c>
      <c r="C59" s="25"/>
      <c r="D59" s="47"/>
      <c r="E59" s="48"/>
    </row>
    <row r="60" spans="1:5" ht="12.95" customHeight="1">
      <c r="A60" s="29">
        <f t="shared" si="3"/>
        <v>45</v>
      </c>
      <c r="B60" s="72">
        <f t="shared" si="2"/>
        <v>0.57173499999999999</v>
      </c>
      <c r="C60" s="25"/>
      <c r="D60" s="47"/>
      <c r="E60" s="48"/>
    </row>
    <row r="61" spans="1:5" ht="12.95" customHeight="1">
      <c r="A61" s="29">
        <f t="shared" si="3"/>
        <v>50</v>
      </c>
      <c r="B61" s="72">
        <f t="shared" si="2"/>
        <v>0.5</v>
      </c>
      <c r="C61" s="25"/>
      <c r="D61" s="47"/>
      <c r="E61" s="48"/>
    </row>
    <row r="62" spans="1:5" ht="12.95" customHeight="1">
      <c r="A62" s="30">
        <f t="shared" si="3"/>
        <v>55</v>
      </c>
      <c r="B62" s="83">
        <f>0.0000912*(A62^2)-0.0237*A62+1.46</f>
        <v>0.43237999999999999</v>
      </c>
      <c r="C62" s="25"/>
      <c r="D62" s="47"/>
      <c r="E62" s="48"/>
    </row>
    <row r="63" spans="1:5" ht="12.95" customHeight="1">
      <c r="A63" s="30">
        <f t="shared" si="3"/>
        <v>60</v>
      </c>
      <c r="B63" s="83">
        <f t="shared" ref="B63:B71" si="4">0.0000912*(A63^2)-0.0237*A63+1.46</f>
        <v>0.36631999999999998</v>
      </c>
      <c r="C63" s="25"/>
      <c r="D63" s="47"/>
      <c r="E63" s="48"/>
    </row>
    <row r="64" spans="1:5" ht="12.95" customHeight="1">
      <c r="A64" s="30">
        <f t="shared" si="3"/>
        <v>65</v>
      </c>
      <c r="B64" s="83">
        <f t="shared" si="4"/>
        <v>0.30481999999999987</v>
      </c>
      <c r="C64" s="25"/>
      <c r="D64" s="47"/>
      <c r="E64" s="48"/>
    </row>
    <row r="65" spans="1:5" ht="12.95" customHeight="1">
      <c r="A65" s="30">
        <f t="shared" si="3"/>
        <v>70</v>
      </c>
      <c r="B65" s="83">
        <f t="shared" si="4"/>
        <v>0.2478800000000001</v>
      </c>
      <c r="C65" s="25"/>
      <c r="D65" s="47"/>
      <c r="E65" s="48"/>
    </row>
    <row r="66" spans="1:5" ht="12.95" customHeight="1">
      <c r="A66" s="30">
        <f t="shared" si="3"/>
        <v>75</v>
      </c>
      <c r="B66" s="83">
        <f t="shared" si="4"/>
        <v>0.19550000000000001</v>
      </c>
      <c r="C66" s="25"/>
      <c r="D66" s="47"/>
      <c r="E66" s="48"/>
    </row>
    <row r="67" spans="1:5" ht="12.95" customHeight="1">
      <c r="A67" s="30">
        <f t="shared" si="3"/>
        <v>80</v>
      </c>
      <c r="B67" s="83">
        <f t="shared" si="4"/>
        <v>0.14768000000000003</v>
      </c>
      <c r="C67" s="25"/>
      <c r="D67" s="47"/>
      <c r="E67" s="48"/>
    </row>
    <row r="68" spans="1:5" ht="12.95" customHeight="1">
      <c r="A68" s="30">
        <f t="shared" si="3"/>
        <v>85</v>
      </c>
      <c r="B68" s="83">
        <f t="shared" si="4"/>
        <v>0.10441999999999996</v>
      </c>
      <c r="C68" s="25"/>
      <c r="D68" s="47"/>
      <c r="E68" s="48"/>
    </row>
    <row r="69" spans="1:5" ht="12.95" customHeight="1">
      <c r="A69" s="30">
        <f t="shared" si="3"/>
        <v>90</v>
      </c>
      <c r="B69" s="83">
        <f t="shared" si="4"/>
        <v>6.5719999999999779E-2</v>
      </c>
      <c r="C69" s="25"/>
      <c r="D69" s="47"/>
      <c r="E69" s="48"/>
    </row>
    <row r="70" spans="1:5" ht="12.95" customHeight="1">
      <c r="A70" s="30">
        <f t="shared" si="3"/>
        <v>95</v>
      </c>
      <c r="B70" s="83">
        <f t="shared" si="4"/>
        <v>3.1579999999999941E-2</v>
      </c>
      <c r="C70" s="25"/>
      <c r="D70" s="47"/>
      <c r="E70" s="48"/>
    </row>
    <row r="71" spans="1:5" ht="12.95" customHeight="1" thickBot="1">
      <c r="A71" s="84">
        <f t="shared" si="3"/>
        <v>100</v>
      </c>
      <c r="B71" s="85">
        <f t="shared" si="4"/>
        <v>1.9999999999997797E-3</v>
      </c>
      <c r="C71" s="53"/>
      <c r="D71" s="49"/>
      <c r="E71" s="50"/>
    </row>
    <row r="72" spans="1:5" ht="12.95" customHeight="1" thickTop="1"/>
    <row r="73" spans="1:5" ht="12.95" customHeight="1" thickBot="1"/>
    <row r="74" spans="1:5" ht="30" customHeight="1" thickTop="1">
      <c r="A74" s="8" t="s">
        <v>12</v>
      </c>
      <c r="B74" s="9">
        <v>3</v>
      </c>
      <c r="C74" s="10" t="s">
        <v>10</v>
      </c>
      <c r="D74" s="11" t="s">
        <v>37</v>
      </c>
      <c r="E74" s="12" t="s">
        <v>38</v>
      </c>
    </row>
    <row r="75" spans="1:5" ht="30" customHeight="1">
      <c r="A75" s="13" t="s">
        <v>7</v>
      </c>
      <c r="B75" s="1" t="s">
        <v>36</v>
      </c>
      <c r="C75" s="60"/>
      <c r="D75" s="2" t="s">
        <v>41</v>
      </c>
      <c r="E75" s="61" t="s">
        <v>39</v>
      </c>
    </row>
    <row r="76" spans="1:5" ht="30" customHeight="1">
      <c r="A76" s="13" t="s">
        <v>15</v>
      </c>
      <c r="B76" s="1"/>
      <c r="C76" s="60"/>
      <c r="D76" s="2" t="s">
        <v>5</v>
      </c>
      <c r="E76" s="61" t="s">
        <v>40</v>
      </c>
    </row>
    <row r="77" spans="1:5" ht="30" customHeight="1" thickBot="1">
      <c r="A77" s="13" t="s">
        <v>8</v>
      </c>
      <c r="B77" s="1" t="s">
        <v>21</v>
      </c>
      <c r="C77" s="62"/>
      <c r="D77" s="63"/>
      <c r="E77" s="64"/>
    </row>
    <row r="78" spans="1:5" ht="30" customHeight="1">
      <c r="A78" s="13" t="s">
        <v>9</v>
      </c>
      <c r="B78" s="1" t="s">
        <v>90</v>
      </c>
      <c r="C78" s="4" t="s">
        <v>11</v>
      </c>
      <c r="D78" s="6">
        <v>60</v>
      </c>
      <c r="E78" s="65"/>
    </row>
    <row r="79" spans="1:5" ht="30" customHeight="1" thickBot="1">
      <c r="A79" s="14" t="s">
        <v>16</v>
      </c>
      <c r="B79" s="16" t="s">
        <v>175</v>
      </c>
      <c r="C79" s="5" t="s">
        <v>0</v>
      </c>
      <c r="D79" s="7">
        <f>IF(D78&lt;0,"valor del indicador fuera de rango",IF(D78&lt;=36,-0.0139*D78+1,IF(D78&lt;=131,(-0.00526*D78)+0.689,IF(D78&lt;=140,0,"valor del indicador fuera rango"))))</f>
        <v>0.37339999999999995</v>
      </c>
      <c r="E79" s="66"/>
    </row>
    <row r="80" spans="1:5" ht="30" customHeight="1">
      <c r="A80" s="15" t="s">
        <v>14</v>
      </c>
      <c r="B80" s="3" t="s">
        <v>0</v>
      </c>
      <c r="C80" s="146" t="s">
        <v>13</v>
      </c>
      <c r="D80" s="144"/>
      <c r="E80" s="145"/>
    </row>
    <row r="81" spans="1:5" ht="12.95" customHeight="1">
      <c r="A81" s="28">
        <v>0</v>
      </c>
      <c r="B81" s="72">
        <f>-0.0139*A81+1</f>
        <v>1</v>
      </c>
      <c r="C81" s="47"/>
      <c r="D81" s="47"/>
      <c r="E81" s="48"/>
    </row>
    <row r="82" spans="1:5" ht="12.95" customHeight="1">
      <c r="A82" s="29">
        <f t="shared" ref="A82:A109" si="5">A81+5</f>
        <v>5</v>
      </c>
      <c r="B82" s="72">
        <f t="shared" ref="B82:B88" si="6">-0.0139*A82+1</f>
        <v>0.93049999999999999</v>
      </c>
      <c r="C82" s="25"/>
      <c r="D82" s="47"/>
      <c r="E82" s="48"/>
    </row>
    <row r="83" spans="1:5" ht="12.95" customHeight="1">
      <c r="A83" s="29">
        <f t="shared" si="5"/>
        <v>10</v>
      </c>
      <c r="B83" s="72">
        <f t="shared" si="6"/>
        <v>0.86099999999999999</v>
      </c>
      <c r="C83" s="25"/>
      <c r="D83" s="47"/>
      <c r="E83" s="48"/>
    </row>
    <row r="84" spans="1:5" ht="12.95" customHeight="1">
      <c r="A84" s="29">
        <f t="shared" si="5"/>
        <v>15</v>
      </c>
      <c r="B84" s="72">
        <f t="shared" si="6"/>
        <v>0.79149999999999998</v>
      </c>
      <c r="C84" s="25"/>
      <c r="D84" s="47"/>
      <c r="E84" s="48"/>
    </row>
    <row r="85" spans="1:5" ht="12.95" customHeight="1">
      <c r="A85" s="29">
        <f t="shared" si="5"/>
        <v>20</v>
      </c>
      <c r="B85" s="72">
        <f t="shared" si="6"/>
        <v>0.72199999999999998</v>
      </c>
      <c r="C85" s="25"/>
      <c r="D85" s="47"/>
      <c r="E85" s="48"/>
    </row>
    <row r="86" spans="1:5" ht="12.95" customHeight="1">
      <c r="A86" s="29">
        <f t="shared" si="5"/>
        <v>25</v>
      </c>
      <c r="B86" s="72">
        <f t="shared" si="6"/>
        <v>0.65250000000000008</v>
      </c>
      <c r="C86" s="25"/>
      <c r="D86" s="47"/>
      <c r="E86" s="48"/>
    </row>
    <row r="87" spans="1:5" ht="12.95" customHeight="1">
      <c r="A87" s="29">
        <f t="shared" si="5"/>
        <v>30</v>
      </c>
      <c r="B87" s="72">
        <f t="shared" si="6"/>
        <v>0.58299999999999996</v>
      </c>
      <c r="C87" s="25"/>
      <c r="D87" s="47"/>
      <c r="E87" s="48"/>
    </row>
    <row r="88" spans="1:5" ht="12.95" customHeight="1">
      <c r="A88" s="29">
        <f t="shared" si="5"/>
        <v>35</v>
      </c>
      <c r="B88" s="72">
        <f t="shared" si="6"/>
        <v>0.51350000000000007</v>
      </c>
      <c r="C88" s="25"/>
      <c r="D88" s="47"/>
      <c r="E88" s="48"/>
    </row>
    <row r="89" spans="1:5" ht="12.95" customHeight="1">
      <c r="A89" s="30">
        <f t="shared" si="5"/>
        <v>40</v>
      </c>
      <c r="B89" s="83">
        <f>-0.00526*A89+0.689</f>
        <v>0.47859999999999991</v>
      </c>
      <c r="C89" s="25"/>
      <c r="D89" s="47"/>
      <c r="E89" s="48"/>
    </row>
    <row r="90" spans="1:5" ht="12.95" customHeight="1">
      <c r="A90" s="30">
        <f t="shared" si="5"/>
        <v>45</v>
      </c>
      <c r="B90" s="83">
        <f t="shared" ref="B90:B107" si="7">-0.00526*A90+0.689</f>
        <v>0.45229999999999992</v>
      </c>
      <c r="C90" s="25"/>
      <c r="D90" s="47"/>
      <c r="E90" s="48"/>
    </row>
    <row r="91" spans="1:5" ht="12.95" customHeight="1">
      <c r="A91" s="30">
        <f t="shared" si="5"/>
        <v>50</v>
      </c>
      <c r="B91" s="83">
        <f t="shared" si="7"/>
        <v>0.42599999999999993</v>
      </c>
      <c r="C91" s="25"/>
      <c r="D91" s="47"/>
      <c r="E91" s="48"/>
    </row>
    <row r="92" spans="1:5" ht="12.95" customHeight="1">
      <c r="A92" s="30">
        <f t="shared" si="5"/>
        <v>55</v>
      </c>
      <c r="B92" s="83">
        <f t="shared" si="7"/>
        <v>0.39969999999999994</v>
      </c>
      <c r="C92" s="25"/>
      <c r="D92" s="47"/>
      <c r="E92" s="48"/>
    </row>
    <row r="93" spans="1:5" ht="12.95" customHeight="1">
      <c r="A93" s="30">
        <f t="shared" si="5"/>
        <v>60</v>
      </c>
      <c r="B93" s="83">
        <f t="shared" si="7"/>
        <v>0.37339999999999995</v>
      </c>
      <c r="C93" s="25"/>
      <c r="D93" s="47"/>
      <c r="E93" s="48"/>
    </row>
    <row r="94" spans="1:5" ht="12.95" customHeight="1">
      <c r="A94" s="30">
        <f t="shared" si="5"/>
        <v>65</v>
      </c>
      <c r="B94" s="83">
        <f t="shared" si="7"/>
        <v>0.34709999999999996</v>
      </c>
      <c r="C94" s="75"/>
      <c r="D94" s="76"/>
      <c r="E94" s="77"/>
    </row>
    <row r="95" spans="1:5" ht="12.95" customHeight="1">
      <c r="A95" s="30">
        <f t="shared" si="5"/>
        <v>70</v>
      </c>
      <c r="B95" s="83">
        <f t="shared" si="7"/>
        <v>0.32079999999999997</v>
      </c>
      <c r="C95" s="75"/>
      <c r="D95" s="76"/>
      <c r="E95" s="77"/>
    </row>
    <row r="96" spans="1:5" ht="12.95" customHeight="1">
      <c r="A96" s="30">
        <f t="shared" si="5"/>
        <v>75</v>
      </c>
      <c r="B96" s="83">
        <f t="shared" si="7"/>
        <v>0.29449999999999993</v>
      </c>
      <c r="C96" s="75"/>
      <c r="D96" s="76"/>
      <c r="E96" s="77"/>
    </row>
    <row r="97" spans="1:6" ht="12.95" customHeight="1">
      <c r="A97" s="30">
        <f t="shared" si="5"/>
        <v>80</v>
      </c>
      <c r="B97" s="83">
        <f t="shared" si="7"/>
        <v>0.26819999999999994</v>
      </c>
      <c r="C97" s="75"/>
      <c r="D97" s="76"/>
      <c r="E97" s="77"/>
    </row>
    <row r="98" spans="1:6" ht="12.95" customHeight="1">
      <c r="A98" s="30">
        <f t="shared" si="5"/>
        <v>85</v>
      </c>
      <c r="B98" s="83">
        <f t="shared" si="7"/>
        <v>0.24189999999999995</v>
      </c>
      <c r="C98" s="75"/>
      <c r="D98" s="76"/>
      <c r="E98" s="77"/>
    </row>
    <row r="99" spans="1:6" ht="12.95" customHeight="1">
      <c r="A99" s="30">
        <f t="shared" si="5"/>
        <v>90</v>
      </c>
      <c r="B99" s="83">
        <f t="shared" si="7"/>
        <v>0.21559999999999996</v>
      </c>
      <c r="C99" s="75"/>
      <c r="D99" s="76"/>
      <c r="E99" s="77"/>
    </row>
    <row r="100" spans="1:6" ht="12.95" customHeight="1">
      <c r="A100" s="30">
        <f t="shared" si="5"/>
        <v>95</v>
      </c>
      <c r="B100" s="83">
        <f t="shared" si="7"/>
        <v>0.18929999999999997</v>
      </c>
      <c r="C100" s="75"/>
      <c r="D100" s="76"/>
      <c r="E100" s="77"/>
    </row>
    <row r="101" spans="1:6" ht="12.95" customHeight="1">
      <c r="A101" s="30">
        <f t="shared" si="5"/>
        <v>100</v>
      </c>
      <c r="B101" s="83">
        <f t="shared" si="7"/>
        <v>0.16299999999999992</v>
      </c>
      <c r="C101" s="75"/>
      <c r="D101" s="76"/>
      <c r="E101" s="77"/>
    </row>
    <row r="102" spans="1:6" ht="12.95" customHeight="1">
      <c r="A102" s="30">
        <f t="shared" si="5"/>
        <v>105</v>
      </c>
      <c r="B102" s="83">
        <f t="shared" si="7"/>
        <v>0.13669999999999993</v>
      </c>
      <c r="C102" s="75"/>
      <c r="D102" s="76"/>
      <c r="E102" s="77"/>
    </row>
    <row r="103" spans="1:6" ht="12.95" customHeight="1">
      <c r="A103" s="30">
        <f t="shared" si="5"/>
        <v>110</v>
      </c>
      <c r="B103" s="83">
        <f t="shared" si="7"/>
        <v>0.11039999999999994</v>
      </c>
      <c r="C103" s="75"/>
      <c r="D103" s="76"/>
      <c r="E103" s="77"/>
    </row>
    <row r="104" spans="1:6" ht="12.95" customHeight="1">
      <c r="A104" s="30">
        <f t="shared" si="5"/>
        <v>115</v>
      </c>
      <c r="B104" s="83">
        <f t="shared" si="7"/>
        <v>8.4099999999999953E-2</v>
      </c>
      <c r="C104" s="75"/>
      <c r="D104" s="76"/>
      <c r="E104" s="77"/>
    </row>
    <row r="105" spans="1:6" ht="12.95" customHeight="1">
      <c r="A105" s="30">
        <f t="shared" si="5"/>
        <v>120</v>
      </c>
      <c r="B105" s="83">
        <f t="shared" si="7"/>
        <v>5.7799999999999963E-2</v>
      </c>
      <c r="C105" s="75"/>
      <c r="D105" s="75"/>
      <c r="E105" s="82"/>
      <c r="F105" s="73"/>
    </row>
    <row r="106" spans="1:6" ht="12.95" customHeight="1">
      <c r="A106" s="30">
        <f t="shared" si="5"/>
        <v>125</v>
      </c>
      <c r="B106" s="83">
        <f t="shared" si="7"/>
        <v>3.1499999999999972E-2</v>
      </c>
      <c r="C106" s="75"/>
      <c r="D106" s="75"/>
      <c r="E106" s="82"/>
      <c r="F106" s="73"/>
    </row>
    <row r="107" spans="1:6" ht="12.95" customHeight="1">
      <c r="A107" s="30">
        <f t="shared" si="5"/>
        <v>130</v>
      </c>
      <c r="B107" s="83">
        <f t="shared" si="7"/>
        <v>5.1999999999999824E-3</v>
      </c>
      <c r="C107" s="76"/>
      <c r="D107" s="76"/>
      <c r="E107" s="77"/>
    </row>
    <row r="108" spans="1:6" ht="12.95" customHeight="1">
      <c r="A108" s="31">
        <f t="shared" si="5"/>
        <v>135</v>
      </c>
      <c r="B108" s="86">
        <v>0</v>
      </c>
      <c r="C108" s="76"/>
      <c r="D108" s="76"/>
      <c r="E108" s="77"/>
    </row>
    <row r="109" spans="1:6" ht="12.95" customHeight="1">
      <c r="A109" s="31">
        <f t="shared" si="5"/>
        <v>140</v>
      </c>
      <c r="B109" s="86">
        <v>0</v>
      </c>
      <c r="C109" s="76"/>
      <c r="D109" s="76"/>
      <c r="E109" s="77"/>
    </row>
    <row r="110" spans="1:6" ht="12.95" customHeight="1">
      <c r="A110" s="81"/>
      <c r="B110" s="76"/>
      <c r="C110" s="76"/>
      <c r="D110" s="76"/>
      <c r="E110" s="77"/>
      <c r="F110" s="47"/>
    </row>
    <row r="111" spans="1:6" ht="12.95" customHeight="1">
      <c r="A111" s="81"/>
      <c r="B111" s="76"/>
      <c r="C111" s="76"/>
      <c r="D111" s="76"/>
      <c r="E111" s="77"/>
      <c r="F111" s="47"/>
    </row>
    <row r="112" spans="1:6" ht="12.95" customHeight="1">
      <c r="A112" s="81"/>
      <c r="B112" s="76"/>
      <c r="C112" s="76"/>
      <c r="D112" s="76"/>
      <c r="E112" s="77"/>
      <c r="F112" s="47"/>
    </row>
    <row r="113" spans="1:6" ht="12.95" customHeight="1">
      <c r="A113" s="81"/>
      <c r="B113" s="76"/>
      <c r="C113" s="76"/>
      <c r="D113" s="76"/>
      <c r="E113" s="77"/>
      <c r="F113" s="47"/>
    </row>
    <row r="114" spans="1:6" ht="12.95" customHeight="1">
      <c r="A114" s="81"/>
      <c r="B114" s="76"/>
      <c r="C114" s="76"/>
      <c r="D114" s="76"/>
      <c r="E114" s="77"/>
      <c r="F114" s="47"/>
    </row>
    <row r="115" spans="1:6" ht="12.95" customHeight="1" thickBot="1">
      <c r="A115" s="89"/>
      <c r="B115" s="87"/>
      <c r="C115" s="87"/>
      <c r="D115" s="87"/>
      <c r="E115" s="88"/>
      <c r="F115" s="47"/>
    </row>
    <row r="116" spans="1:6" ht="12.95" customHeight="1" thickTop="1">
      <c r="C116" s="47"/>
      <c r="D116" s="47"/>
      <c r="E116" s="47"/>
    </row>
  </sheetData>
  <mergeCells count="3">
    <mergeCell ref="C7:E7"/>
    <mergeCell ref="C50:E50"/>
    <mergeCell ref="C80:E80"/>
  </mergeCells>
  <phoneticPr fontId="0" type="noConversion"/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E124"/>
  <sheetViews>
    <sheetView topLeftCell="A103" workbookViewId="0">
      <selection activeCell="C128" sqref="C128"/>
    </sheetView>
  </sheetViews>
  <sheetFormatPr baseColWidth="10" defaultRowHeight="12.95" customHeight="1"/>
  <cols>
    <col min="1" max="1" width="25.83203125" style="46" customWidth="1"/>
    <col min="2" max="2" width="40.83203125" style="46" customWidth="1"/>
    <col min="3" max="5" width="22.83203125" style="46" customWidth="1"/>
    <col min="6" max="7" width="9.33203125" style="46" customWidth="1"/>
    <col min="8" max="16384" width="12" style="46"/>
  </cols>
  <sheetData>
    <row r="1" spans="1:5" ht="30" customHeight="1" thickTop="1">
      <c r="A1" s="8" t="s">
        <v>12</v>
      </c>
      <c r="B1" s="9">
        <v>4</v>
      </c>
      <c r="C1" s="10" t="s">
        <v>10</v>
      </c>
      <c r="D1" s="11" t="s">
        <v>1</v>
      </c>
      <c r="E1" s="12" t="s">
        <v>2</v>
      </c>
    </row>
    <row r="2" spans="1:5" ht="30" customHeight="1">
      <c r="A2" s="13" t="s">
        <v>7</v>
      </c>
      <c r="B2" s="1" t="s">
        <v>35</v>
      </c>
      <c r="C2" s="60"/>
      <c r="D2" s="2" t="s">
        <v>3</v>
      </c>
      <c r="E2" s="61" t="s">
        <v>4</v>
      </c>
    </row>
    <row r="3" spans="1:5" ht="30" customHeight="1">
      <c r="A3" s="13" t="s">
        <v>15</v>
      </c>
      <c r="B3" s="1"/>
      <c r="C3" s="60"/>
      <c r="D3" s="2" t="s">
        <v>5</v>
      </c>
      <c r="E3" s="61" t="s">
        <v>42</v>
      </c>
    </row>
    <row r="4" spans="1:5" ht="30" customHeight="1" thickBot="1">
      <c r="A4" s="13" t="s">
        <v>8</v>
      </c>
      <c r="B4" s="1" t="s">
        <v>92</v>
      </c>
      <c r="C4" s="62"/>
      <c r="D4" s="63"/>
      <c r="E4" s="64"/>
    </row>
    <row r="5" spans="1:5" ht="30" customHeight="1">
      <c r="A5" s="13" t="s">
        <v>9</v>
      </c>
      <c r="B5" s="1" t="s">
        <v>89</v>
      </c>
      <c r="C5" s="4" t="s">
        <v>11</v>
      </c>
      <c r="D5" s="6">
        <v>11</v>
      </c>
      <c r="E5" s="65"/>
    </row>
    <row r="6" spans="1:5" ht="30" customHeight="1" thickBot="1">
      <c r="A6" s="14" t="s">
        <v>16</v>
      </c>
      <c r="B6" s="16" t="s">
        <v>17</v>
      </c>
      <c r="C6" s="5" t="s">
        <v>0</v>
      </c>
      <c r="D6" s="7">
        <f>IF(D5&lt;0,"valor del indicador fuera de rango",IF(D5&lt;=10.9,-0.0036*(D5^2)-(0.00482*D5)+1,IF(D5&lt;=32,(0.00103*(D5^2))-(0.0689*D5)+1.15,IF(D5&lt;=34,0,"valor del indicador fuera rango"))))</f>
        <v>0.51672999999999991</v>
      </c>
      <c r="E6" s="66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28">
        <v>0</v>
      </c>
      <c r="B8" s="24">
        <f t="shared" ref="B8:B13" si="0">-0.0036*(A8^2)-(0.00482*A8)+1</f>
        <v>1</v>
      </c>
      <c r="C8" s="47"/>
      <c r="D8" s="47"/>
      <c r="E8" s="48"/>
    </row>
    <row r="9" spans="1:5" ht="12.95" customHeight="1">
      <c r="A9" s="29">
        <f>+A8+2</f>
        <v>2</v>
      </c>
      <c r="B9" s="24">
        <f t="shared" si="0"/>
        <v>0.97596000000000005</v>
      </c>
      <c r="C9" s="25"/>
      <c r="D9" s="47"/>
      <c r="E9" s="48"/>
    </row>
    <row r="10" spans="1:5" ht="12.95" customHeight="1">
      <c r="A10" s="29">
        <f t="shared" ref="A10:A21" si="1">+A9+2</f>
        <v>4</v>
      </c>
      <c r="B10" s="24">
        <f t="shared" si="0"/>
        <v>0.92311999999999994</v>
      </c>
      <c r="C10" s="25"/>
      <c r="D10" s="47"/>
      <c r="E10" s="48"/>
    </row>
    <row r="11" spans="1:5" ht="12.95" customHeight="1">
      <c r="A11" s="29">
        <f t="shared" si="1"/>
        <v>6</v>
      </c>
      <c r="B11" s="24">
        <f t="shared" si="0"/>
        <v>0.84148000000000001</v>
      </c>
      <c r="C11" s="25"/>
      <c r="D11" s="47"/>
      <c r="E11" s="48"/>
    </row>
    <row r="12" spans="1:5" ht="12.95" customHeight="1">
      <c r="A12" s="29">
        <f t="shared" si="1"/>
        <v>8</v>
      </c>
      <c r="B12" s="24">
        <f t="shared" si="0"/>
        <v>0.73104000000000002</v>
      </c>
      <c r="C12" s="25"/>
      <c r="D12" s="47"/>
      <c r="E12" s="48"/>
    </row>
    <row r="13" spans="1:5" ht="12.95" customHeight="1">
      <c r="A13" s="29">
        <f t="shared" si="1"/>
        <v>10</v>
      </c>
      <c r="B13" s="24">
        <f t="shared" si="0"/>
        <v>0.59179999999999999</v>
      </c>
      <c r="C13" s="25"/>
      <c r="D13" s="47"/>
      <c r="E13" s="48"/>
    </row>
    <row r="14" spans="1:5" ht="12.95" customHeight="1">
      <c r="A14" s="30">
        <f t="shared" si="1"/>
        <v>12</v>
      </c>
      <c r="B14" s="26">
        <f t="shared" ref="B14:B26" si="2">0.00103*(A14^2)-(0.0689*A14)+1.15</f>
        <v>0.47151999999999994</v>
      </c>
      <c r="C14" s="25"/>
      <c r="D14" s="47"/>
      <c r="E14" s="48"/>
    </row>
    <row r="15" spans="1:5" ht="12.95" customHeight="1">
      <c r="A15" s="30">
        <f t="shared" si="1"/>
        <v>14</v>
      </c>
      <c r="B15" s="26">
        <f t="shared" si="2"/>
        <v>0.38727999999999996</v>
      </c>
      <c r="C15" s="25"/>
      <c r="D15" s="47"/>
      <c r="E15" s="48"/>
    </row>
    <row r="16" spans="1:5" ht="12.95" customHeight="1">
      <c r="A16" s="30">
        <f t="shared" si="1"/>
        <v>16</v>
      </c>
      <c r="B16" s="26">
        <f t="shared" si="2"/>
        <v>0.31127999999999989</v>
      </c>
      <c r="C16" s="25"/>
      <c r="D16" s="47"/>
      <c r="E16" s="48"/>
    </row>
    <row r="17" spans="1:5" ht="12.95" customHeight="1">
      <c r="A17" s="30">
        <f t="shared" si="1"/>
        <v>18</v>
      </c>
      <c r="B17" s="26">
        <f t="shared" si="2"/>
        <v>0.24351999999999996</v>
      </c>
      <c r="C17" s="25"/>
      <c r="D17" s="47"/>
      <c r="E17" s="48"/>
    </row>
    <row r="18" spans="1:5" ht="12.95" customHeight="1">
      <c r="A18" s="30">
        <f t="shared" si="1"/>
        <v>20</v>
      </c>
      <c r="B18" s="26">
        <f t="shared" si="2"/>
        <v>0.18399999999999983</v>
      </c>
      <c r="C18" s="25"/>
      <c r="D18" s="47"/>
      <c r="E18" s="48"/>
    </row>
    <row r="19" spans="1:5" ht="12.95" customHeight="1">
      <c r="A19" s="30">
        <f t="shared" si="1"/>
        <v>22</v>
      </c>
      <c r="B19" s="26">
        <f t="shared" si="2"/>
        <v>0.13271999999999995</v>
      </c>
      <c r="C19" s="25"/>
      <c r="D19" s="47"/>
      <c r="E19" s="48"/>
    </row>
    <row r="20" spans="1:5" ht="12.95" customHeight="1">
      <c r="A20" s="30">
        <f t="shared" si="1"/>
        <v>24</v>
      </c>
      <c r="B20" s="26">
        <f t="shared" si="2"/>
        <v>8.9679999999999982E-2</v>
      </c>
      <c r="C20" s="25"/>
      <c r="D20" s="47"/>
      <c r="E20" s="48"/>
    </row>
    <row r="21" spans="1:5" ht="12.95" customHeight="1">
      <c r="A21" s="30">
        <f t="shared" si="1"/>
        <v>26</v>
      </c>
      <c r="B21" s="26">
        <f t="shared" si="2"/>
        <v>5.4879999999999818E-2</v>
      </c>
      <c r="C21" s="25"/>
      <c r="D21" s="47"/>
      <c r="E21" s="48"/>
    </row>
    <row r="22" spans="1:5" ht="12.95" customHeight="1">
      <c r="A22" s="30">
        <v>27</v>
      </c>
      <c r="B22" s="26">
        <f t="shared" si="2"/>
        <v>4.0569999999999773E-2</v>
      </c>
      <c r="C22" s="25"/>
      <c r="D22" s="47"/>
      <c r="E22" s="48"/>
    </row>
    <row r="23" spans="1:5" ht="12.95" customHeight="1">
      <c r="A23" s="30">
        <v>28</v>
      </c>
      <c r="B23" s="26">
        <f t="shared" si="2"/>
        <v>2.8319999999999901E-2</v>
      </c>
      <c r="C23" s="25"/>
      <c r="D23" s="47"/>
      <c r="E23" s="48"/>
    </row>
    <row r="24" spans="1:5" ht="12.95" customHeight="1">
      <c r="A24" s="30">
        <v>29</v>
      </c>
      <c r="B24" s="26">
        <f t="shared" si="2"/>
        <v>1.8129999999999979E-2</v>
      </c>
      <c r="C24" s="25"/>
      <c r="D24" s="47"/>
      <c r="E24" s="48"/>
    </row>
    <row r="25" spans="1:5" ht="12.95" customHeight="1">
      <c r="A25" s="30">
        <v>30</v>
      </c>
      <c r="B25" s="26">
        <f t="shared" si="2"/>
        <v>9.9999999999997868E-3</v>
      </c>
      <c r="C25" s="25"/>
      <c r="D25" s="47"/>
      <c r="E25" s="48"/>
    </row>
    <row r="26" spans="1:5" ht="12.95" customHeight="1">
      <c r="A26" s="30">
        <v>31</v>
      </c>
      <c r="B26" s="26">
        <f t="shared" si="2"/>
        <v>3.9299999999999891E-3</v>
      </c>
      <c r="C26" s="25"/>
      <c r="D26" s="47"/>
      <c r="E26" s="48"/>
    </row>
    <row r="27" spans="1:5" ht="12.95" customHeight="1">
      <c r="A27" s="31">
        <v>32</v>
      </c>
      <c r="B27" s="27">
        <f>0.00103*(A27^2)-(0.0689*A27)+1.15</f>
        <v>-8.0000000000080007E-5</v>
      </c>
      <c r="C27" s="25"/>
      <c r="D27" s="47"/>
      <c r="E27" s="48"/>
    </row>
    <row r="28" spans="1:5" ht="12.95" customHeight="1">
      <c r="A28" s="31">
        <v>33</v>
      </c>
      <c r="B28" s="27">
        <f>0</f>
        <v>0</v>
      </c>
      <c r="C28" s="25"/>
      <c r="D28" s="47"/>
      <c r="E28" s="48"/>
    </row>
    <row r="29" spans="1:5" ht="12.95" customHeight="1" thickBot="1">
      <c r="A29" s="51">
        <v>34</v>
      </c>
      <c r="B29" s="52">
        <f>0</f>
        <v>0</v>
      </c>
      <c r="C29" s="53"/>
      <c r="D29" s="49"/>
      <c r="E29" s="50"/>
    </row>
    <row r="30" spans="1:5" ht="12.95" customHeight="1" thickTop="1"/>
    <row r="31" spans="1:5" ht="12.95" customHeight="1" thickBot="1"/>
    <row r="32" spans="1:5" ht="30" customHeight="1" thickTop="1">
      <c r="A32" s="8" t="s">
        <v>12</v>
      </c>
      <c r="B32" s="9">
        <v>5</v>
      </c>
      <c r="C32" s="10" t="s">
        <v>10</v>
      </c>
      <c r="D32" s="11" t="s">
        <v>1</v>
      </c>
      <c r="E32" s="12" t="s">
        <v>2</v>
      </c>
    </row>
    <row r="33" spans="1:5" ht="30" customHeight="1">
      <c r="A33" s="13" t="s">
        <v>7</v>
      </c>
      <c r="B33" s="1" t="s">
        <v>18</v>
      </c>
      <c r="C33" s="60"/>
      <c r="D33" s="2" t="s">
        <v>3</v>
      </c>
      <c r="E33" s="61" t="s">
        <v>4</v>
      </c>
    </row>
    <row r="34" spans="1:5" ht="30" customHeight="1">
      <c r="A34" s="13" t="s">
        <v>15</v>
      </c>
      <c r="B34" s="1"/>
      <c r="C34" s="60"/>
      <c r="D34" s="2" t="s">
        <v>5</v>
      </c>
      <c r="E34" s="61" t="s">
        <v>6</v>
      </c>
    </row>
    <row r="35" spans="1:5" ht="30" customHeight="1" thickBot="1">
      <c r="A35" s="13" t="s">
        <v>8</v>
      </c>
      <c r="B35" s="1" t="s">
        <v>92</v>
      </c>
      <c r="C35" s="62"/>
      <c r="D35" s="63"/>
      <c r="E35" s="64"/>
    </row>
    <row r="36" spans="1:5" ht="30" customHeight="1">
      <c r="A36" s="13" t="s">
        <v>9</v>
      </c>
      <c r="B36" s="1" t="s">
        <v>89</v>
      </c>
      <c r="C36" s="4" t="s">
        <v>11</v>
      </c>
      <c r="D36" s="6">
        <v>14</v>
      </c>
      <c r="E36" s="65"/>
    </row>
    <row r="37" spans="1:5" ht="30" customHeight="1" thickBot="1">
      <c r="A37" s="14" t="s">
        <v>16</v>
      </c>
      <c r="B37" s="16" t="s">
        <v>17</v>
      </c>
      <c r="C37" s="5" t="s">
        <v>0</v>
      </c>
      <c r="D37" s="7">
        <f>IF(D36&lt;0,"valor del indicador fuera de rango",IF(D36&lt;=10.9,-0.0036*(D36^2)-(0.00482*D36)+1,IF(D36&lt;=32,(0.00103*(D36^2))-(0.0689*D36)+1.15,IF(D36&lt;=34,0,"valor del indicador fuera rango"))))</f>
        <v>0.38727999999999996</v>
      </c>
      <c r="E37" s="66"/>
    </row>
    <row r="38" spans="1:5" ht="30" customHeight="1">
      <c r="A38" s="15" t="s">
        <v>14</v>
      </c>
      <c r="B38" s="3" t="s">
        <v>0</v>
      </c>
      <c r="C38" s="146" t="s">
        <v>13</v>
      </c>
      <c r="D38" s="144"/>
      <c r="E38" s="145"/>
    </row>
    <row r="39" spans="1:5" ht="12.95" customHeight="1">
      <c r="A39" s="28">
        <v>0</v>
      </c>
      <c r="B39" s="24">
        <f t="shared" ref="B39:B44" si="3">-0.0036*(A39^2)-(0.00482*A39)+1</f>
        <v>1</v>
      </c>
      <c r="C39" s="47"/>
      <c r="D39" s="47"/>
      <c r="E39" s="48"/>
    </row>
    <row r="40" spans="1:5" ht="12.95" customHeight="1">
      <c r="A40" s="29">
        <v>2</v>
      </c>
      <c r="B40" s="24">
        <f t="shared" si="3"/>
        <v>0.97596000000000005</v>
      </c>
      <c r="C40" s="25"/>
      <c r="D40" s="47"/>
      <c r="E40" s="48"/>
    </row>
    <row r="41" spans="1:5" ht="12.95" customHeight="1">
      <c r="A41" s="29">
        <v>4</v>
      </c>
      <c r="B41" s="24">
        <f t="shared" si="3"/>
        <v>0.92311999999999994</v>
      </c>
      <c r="C41" s="25"/>
      <c r="D41" s="47"/>
      <c r="E41" s="48"/>
    </row>
    <row r="42" spans="1:5" ht="12.95" customHeight="1">
      <c r="A42" s="28">
        <v>6</v>
      </c>
      <c r="B42" s="24">
        <f t="shared" si="3"/>
        <v>0.84148000000000001</v>
      </c>
      <c r="C42" s="25"/>
      <c r="D42" s="47"/>
      <c r="E42" s="48"/>
    </row>
    <row r="43" spans="1:5" ht="12.95" customHeight="1">
      <c r="A43" s="29">
        <v>8</v>
      </c>
      <c r="B43" s="24">
        <f t="shared" si="3"/>
        <v>0.73104000000000002</v>
      </c>
      <c r="C43" s="25"/>
      <c r="D43" s="47"/>
      <c r="E43" s="48"/>
    </row>
    <row r="44" spans="1:5" ht="12.95" customHeight="1">
      <c r="A44" s="29">
        <v>10</v>
      </c>
      <c r="B44" s="24">
        <f t="shared" si="3"/>
        <v>0.59179999999999999</v>
      </c>
      <c r="C44" s="25"/>
      <c r="D44" s="47"/>
      <c r="E44" s="48"/>
    </row>
    <row r="45" spans="1:5" ht="12.95" customHeight="1">
      <c r="A45" s="30">
        <v>12</v>
      </c>
      <c r="B45" s="83">
        <f>0.00103*(A45^2)-(0.0689*A45)+1.15</f>
        <v>0.47151999999999994</v>
      </c>
      <c r="C45" s="25"/>
      <c r="D45" s="47"/>
      <c r="E45" s="48"/>
    </row>
    <row r="46" spans="1:5" ht="12.95" customHeight="1">
      <c r="A46" s="67">
        <f>+A45+2</f>
        <v>14</v>
      </c>
      <c r="B46" s="83">
        <f t="shared" ref="B46:B61" si="4">0.00103*(A46^2)-(0.0689*A46)+1.15</f>
        <v>0.38727999999999996</v>
      </c>
      <c r="C46" s="25"/>
      <c r="D46" s="47"/>
      <c r="E46" s="48"/>
    </row>
    <row r="47" spans="1:5" ht="12.95" customHeight="1">
      <c r="A47" s="67">
        <f>+A46+2</f>
        <v>16</v>
      </c>
      <c r="B47" s="83">
        <f t="shared" si="4"/>
        <v>0.31127999999999989</v>
      </c>
      <c r="C47" s="25"/>
      <c r="D47" s="47"/>
      <c r="E47" s="48"/>
    </row>
    <row r="48" spans="1:5" ht="12.95" customHeight="1">
      <c r="A48" s="67">
        <f>+A47+2</f>
        <v>18</v>
      </c>
      <c r="B48" s="83">
        <f t="shared" si="4"/>
        <v>0.24351999999999996</v>
      </c>
      <c r="C48" s="25"/>
      <c r="D48" s="47"/>
      <c r="E48" s="48"/>
    </row>
    <row r="49" spans="1:5" ht="12.95" customHeight="1">
      <c r="A49" s="67">
        <f>+A48+2</f>
        <v>20</v>
      </c>
      <c r="B49" s="83">
        <f t="shared" si="4"/>
        <v>0.18399999999999983</v>
      </c>
      <c r="C49" s="25"/>
      <c r="D49" s="47"/>
      <c r="E49" s="48"/>
    </row>
    <row r="50" spans="1:5" ht="12.95" customHeight="1">
      <c r="A50" s="67">
        <v>21</v>
      </c>
      <c r="B50" s="83">
        <f t="shared" si="4"/>
        <v>0.15732999999999986</v>
      </c>
      <c r="C50" s="25"/>
      <c r="D50" s="47"/>
      <c r="E50" s="48"/>
    </row>
    <row r="51" spans="1:5" ht="12.95" customHeight="1">
      <c r="A51" s="67">
        <v>22</v>
      </c>
      <c r="B51" s="83">
        <f t="shared" si="4"/>
        <v>0.13271999999999995</v>
      </c>
      <c r="C51" s="25"/>
      <c r="D51" s="47"/>
      <c r="E51" s="48"/>
    </row>
    <row r="52" spans="1:5" ht="12.95" customHeight="1">
      <c r="A52" s="67">
        <v>23</v>
      </c>
      <c r="B52" s="83">
        <f t="shared" si="4"/>
        <v>0.1101700000000001</v>
      </c>
      <c r="C52" s="25"/>
      <c r="D52" s="47"/>
      <c r="E52" s="48"/>
    </row>
    <row r="53" spans="1:5" ht="12.95" customHeight="1">
      <c r="A53" s="67">
        <v>24</v>
      </c>
      <c r="B53" s="83">
        <f t="shared" si="4"/>
        <v>8.9679999999999982E-2</v>
      </c>
      <c r="C53" s="25"/>
      <c r="D53" s="47"/>
      <c r="E53" s="48"/>
    </row>
    <row r="54" spans="1:5" ht="12.95" customHeight="1">
      <c r="A54" s="67">
        <v>25</v>
      </c>
      <c r="B54" s="83">
        <f t="shared" si="4"/>
        <v>7.1249999999999813E-2</v>
      </c>
      <c r="C54" s="25"/>
      <c r="D54" s="47"/>
      <c r="E54" s="48"/>
    </row>
    <row r="55" spans="1:5" ht="12.95" customHeight="1">
      <c r="A55" s="67">
        <v>26</v>
      </c>
      <c r="B55" s="83">
        <f t="shared" si="4"/>
        <v>5.4879999999999818E-2</v>
      </c>
      <c r="C55" s="25"/>
      <c r="D55" s="47"/>
      <c r="E55" s="48"/>
    </row>
    <row r="56" spans="1:5" ht="12.95" customHeight="1">
      <c r="A56" s="30">
        <v>27</v>
      </c>
      <c r="B56" s="83">
        <f t="shared" si="4"/>
        <v>4.0569999999999773E-2</v>
      </c>
      <c r="C56" s="25"/>
      <c r="D56" s="47"/>
      <c r="E56" s="48"/>
    </row>
    <row r="57" spans="1:5" ht="12.95" customHeight="1">
      <c r="A57" s="67">
        <v>28</v>
      </c>
      <c r="B57" s="83">
        <f t="shared" si="4"/>
        <v>2.8319999999999901E-2</v>
      </c>
      <c r="C57" s="25"/>
      <c r="D57" s="47"/>
      <c r="E57" s="48"/>
    </row>
    <row r="58" spans="1:5" ht="12.95" customHeight="1">
      <c r="A58" s="30">
        <v>29</v>
      </c>
      <c r="B58" s="83">
        <f t="shared" si="4"/>
        <v>1.8129999999999979E-2</v>
      </c>
      <c r="C58" s="25"/>
      <c r="D58" s="47"/>
      <c r="E58" s="48"/>
    </row>
    <row r="59" spans="1:5" ht="12.95" customHeight="1">
      <c r="A59" s="30">
        <v>30</v>
      </c>
      <c r="B59" s="83">
        <f t="shared" si="4"/>
        <v>9.9999999999997868E-3</v>
      </c>
      <c r="C59" s="25"/>
      <c r="D59" s="47"/>
      <c r="E59" s="48"/>
    </row>
    <row r="60" spans="1:5" ht="12.95" customHeight="1">
      <c r="A60" s="67">
        <v>31</v>
      </c>
      <c r="B60" s="83">
        <f t="shared" si="4"/>
        <v>3.9299999999999891E-3</v>
      </c>
      <c r="C60" s="25"/>
      <c r="D60" s="47"/>
      <c r="E60" s="48"/>
    </row>
    <row r="61" spans="1:5" ht="12.95" customHeight="1">
      <c r="A61" s="30">
        <v>32</v>
      </c>
      <c r="B61" s="83">
        <f t="shared" si="4"/>
        <v>-8.0000000000080007E-5</v>
      </c>
      <c r="C61" s="25"/>
      <c r="D61" s="47"/>
      <c r="E61" s="48"/>
    </row>
    <row r="62" spans="1:5" ht="12.95" customHeight="1">
      <c r="A62" s="31">
        <v>33</v>
      </c>
      <c r="B62" s="27">
        <v>0</v>
      </c>
      <c r="C62" s="25"/>
      <c r="D62" s="47"/>
      <c r="E62" s="48"/>
    </row>
    <row r="63" spans="1:5" ht="12.95" customHeight="1" thickBot="1">
      <c r="A63" s="90">
        <v>34</v>
      </c>
      <c r="B63" s="52">
        <v>0</v>
      </c>
      <c r="C63" s="53"/>
      <c r="D63" s="53"/>
      <c r="E63" s="55"/>
    </row>
    <row r="64" spans="1:5" ht="12.95" customHeight="1" thickTop="1"/>
    <row r="65" spans="1:5" ht="12.95" customHeight="1" thickBot="1"/>
    <row r="66" spans="1:5" ht="30" customHeight="1" thickTop="1">
      <c r="A66" s="8" t="s">
        <v>12</v>
      </c>
      <c r="B66" s="9">
        <v>6</v>
      </c>
      <c r="C66" s="10" t="s">
        <v>10</v>
      </c>
      <c r="D66" s="11" t="s">
        <v>1</v>
      </c>
      <c r="E66" s="12" t="s">
        <v>2</v>
      </c>
    </row>
    <row r="67" spans="1:5" ht="30" customHeight="1">
      <c r="A67" s="13" t="s">
        <v>7</v>
      </c>
      <c r="B67" s="1" t="s">
        <v>19</v>
      </c>
      <c r="C67" s="60"/>
      <c r="D67" s="2" t="s">
        <v>3</v>
      </c>
      <c r="E67" s="61" t="s">
        <v>4</v>
      </c>
    </row>
    <row r="68" spans="1:5" ht="30" customHeight="1">
      <c r="A68" s="13" t="s">
        <v>15</v>
      </c>
      <c r="B68" s="1"/>
      <c r="C68" s="60"/>
      <c r="D68" s="2" t="s">
        <v>5</v>
      </c>
      <c r="E68" s="61" t="s">
        <v>42</v>
      </c>
    </row>
    <row r="69" spans="1:5" ht="30" customHeight="1" thickBot="1">
      <c r="A69" s="13" t="s">
        <v>8</v>
      </c>
      <c r="B69" s="1" t="s">
        <v>92</v>
      </c>
      <c r="C69" s="62"/>
      <c r="D69" s="63"/>
      <c r="E69" s="64"/>
    </row>
    <row r="70" spans="1:5" ht="30" customHeight="1">
      <c r="A70" s="13" t="s">
        <v>9</v>
      </c>
      <c r="B70" s="1" t="s">
        <v>89</v>
      </c>
      <c r="C70" s="4" t="s">
        <v>11</v>
      </c>
      <c r="D70" s="6">
        <v>33</v>
      </c>
      <c r="E70" s="65"/>
    </row>
    <row r="71" spans="1:5" ht="30" customHeight="1" thickBot="1">
      <c r="A71" s="14" t="s">
        <v>16</v>
      </c>
      <c r="B71" s="16" t="s">
        <v>17</v>
      </c>
      <c r="C71" s="5" t="s">
        <v>0</v>
      </c>
      <c r="D71" s="7">
        <f>IF(D70&lt;0,"valor del indicador fuera de rango",IF(D70&lt;=10.9,-0.0036*(D70^2)-(0.00482*D70)+1,IF(D70&lt;=32,(0.00103*(D70^2))-(0.0689*D70)+1.15,IF(D70&lt;34,0,"valor del indicador fuera rango"))))</f>
        <v>0</v>
      </c>
      <c r="E71" s="66"/>
    </row>
    <row r="72" spans="1:5" ht="30" customHeight="1">
      <c r="A72" s="15" t="s">
        <v>14</v>
      </c>
      <c r="B72" s="3" t="s">
        <v>0</v>
      </c>
      <c r="C72" s="146" t="s">
        <v>13</v>
      </c>
      <c r="D72" s="144"/>
      <c r="E72" s="145"/>
    </row>
    <row r="73" spans="1:5" ht="12.95" customHeight="1">
      <c r="A73" s="28">
        <v>0</v>
      </c>
      <c r="B73" s="24">
        <f t="shared" ref="B73:B78" si="5">-0.0036*(A73^2)-(0.00482*A73)+1</f>
        <v>1</v>
      </c>
      <c r="C73" s="47"/>
      <c r="D73" s="47"/>
      <c r="E73" s="48"/>
    </row>
    <row r="74" spans="1:5" ht="12.95" customHeight="1">
      <c r="A74" s="29">
        <v>2</v>
      </c>
      <c r="B74" s="24">
        <f t="shared" si="5"/>
        <v>0.97596000000000005</v>
      </c>
      <c r="C74" s="25"/>
      <c r="D74" s="47"/>
      <c r="E74" s="48"/>
    </row>
    <row r="75" spans="1:5" ht="12.95" customHeight="1">
      <c r="A75" s="29">
        <v>4</v>
      </c>
      <c r="B75" s="24">
        <f t="shared" si="5"/>
        <v>0.92311999999999994</v>
      </c>
      <c r="C75" s="25"/>
      <c r="D75" s="47"/>
      <c r="E75" s="48"/>
    </row>
    <row r="76" spans="1:5" ht="12.95" customHeight="1">
      <c r="A76" s="28">
        <v>6</v>
      </c>
      <c r="B76" s="24">
        <f t="shared" si="5"/>
        <v>0.84148000000000001</v>
      </c>
      <c r="C76" s="25"/>
      <c r="D76" s="47"/>
      <c r="E76" s="48"/>
    </row>
    <row r="77" spans="1:5" ht="12.95" customHeight="1">
      <c r="A77" s="29">
        <v>8</v>
      </c>
      <c r="B77" s="24">
        <f t="shared" si="5"/>
        <v>0.73104000000000002</v>
      </c>
      <c r="C77" s="25"/>
      <c r="D77" s="47"/>
      <c r="E77" s="48"/>
    </row>
    <row r="78" spans="1:5" ht="12.95" customHeight="1">
      <c r="A78" s="29">
        <v>10</v>
      </c>
      <c r="B78" s="24">
        <f t="shared" si="5"/>
        <v>0.59179999999999999</v>
      </c>
      <c r="C78" s="25"/>
      <c r="D78" s="47"/>
      <c r="E78" s="48"/>
    </row>
    <row r="79" spans="1:5" ht="12.95" customHeight="1">
      <c r="A79" s="30">
        <v>11</v>
      </c>
      <c r="B79" s="26">
        <f t="shared" ref="B79:B94" si="6">0.00103*(A79^2)-(0.0689*A79)+1.15</f>
        <v>0.51672999999999991</v>
      </c>
      <c r="C79" s="25"/>
      <c r="D79" s="47"/>
      <c r="E79" s="48"/>
    </row>
    <row r="80" spans="1:5" ht="12.95" customHeight="1">
      <c r="A80" s="67">
        <v>12</v>
      </c>
      <c r="B80" s="26">
        <f t="shared" si="6"/>
        <v>0.47151999999999994</v>
      </c>
      <c r="C80" s="25"/>
      <c r="D80" s="47"/>
      <c r="E80" s="48"/>
    </row>
    <row r="81" spans="1:5" ht="12.95" customHeight="1">
      <c r="A81" s="30">
        <v>14</v>
      </c>
      <c r="B81" s="26">
        <f t="shared" si="6"/>
        <v>0.38727999999999996</v>
      </c>
      <c r="C81" s="25"/>
      <c r="D81" s="47"/>
      <c r="E81" s="48"/>
    </row>
    <row r="82" spans="1:5" ht="12.95" customHeight="1">
      <c r="A82" s="30">
        <v>18</v>
      </c>
      <c r="B82" s="26">
        <f t="shared" si="6"/>
        <v>0.24351999999999996</v>
      </c>
      <c r="C82" s="25"/>
      <c r="D82" s="47"/>
      <c r="E82" s="48"/>
    </row>
    <row r="83" spans="1:5" ht="12.95" customHeight="1">
      <c r="A83" s="67">
        <v>20</v>
      </c>
      <c r="B83" s="26">
        <f t="shared" si="6"/>
        <v>0.18399999999999983</v>
      </c>
      <c r="C83" s="25"/>
      <c r="D83" s="47"/>
      <c r="E83" s="48"/>
    </row>
    <row r="84" spans="1:5" ht="12.95" customHeight="1">
      <c r="A84" s="30">
        <f>+A83+2</f>
        <v>22</v>
      </c>
      <c r="B84" s="26">
        <f t="shared" si="6"/>
        <v>0.13271999999999995</v>
      </c>
      <c r="C84" s="25"/>
      <c r="D84" s="47"/>
      <c r="E84" s="48"/>
    </row>
    <row r="85" spans="1:5" ht="12.95" customHeight="1">
      <c r="A85" s="30">
        <f>+A84+1</f>
        <v>23</v>
      </c>
      <c r="B85" s="26">
        <f t="shared" si="6"/>
        <v>0.1101700000000001</v>
      </c>
      <c r="C85" s="25"/>
      <c r="D85" s="47"/>
      <c r="E85" s="48"/>
    </row>
    <row r="86" spans="1:5" ht="12.95" customHeight="1">
      <c r="A86" s="30">
        <f t="shared" ref="A86:A91" si="7">+A87-1</f>
        <v>24</v>
      </c>
      <c r="B86" s="83">
        <f t="shared" si="6"/>
        <v>8.9679999999999982E-2</v>
      </c>
      <c r="C86" s="25"/>
      <c r="D86" s="47"/>
      <c r="E86" s="48"/>
    </row>
    <row r="87" spans="1:5" ht="12.95" customHeight="1">
      <c r="A87" s="30">
        <f t="shared" si="7"/>
        <v>25</v>
      </c>
      <c r="B87" s="83">
        <f t="shared" si="6"/>
        <v>7.1249999999999813E-2</v>
      </c>
      <c r="C87" s="25"/>
      <c r="D87" s="47"/>
      <c r="E87" s="48"/>
    </row>
    <row r="88" spans="1:5" ht="12.95" customHeight="1">
      <c r="A88" s="30">
        <f t="shared" si="7"/>
        <v>26</v>
      </c>
      <c r="B88" s="83">
        <f t="shared" si="6"/>
        <v>5.4879999999999818E-2</v>
      </c>
      <c r="C88" s="25"/>
      <c r="D88" s="47"/>
      <c r="E88" s="48"/>
    </row>
    <row r="89" spans="1:5" ht="12.95" customHeight="1">
      <c r="A89" s="30">
        <f t="shared" si="7"/>
        <v>27</v>
      </c>
      <c r="B89" s="83">
        <f t="shared" si="6"/>
        <v>4.0569999999999773E-2</v>
      </c>
      <c r="C89" s="25"/>
      <c r="D89" s="47"/>
      <c r="E89" s="48"/>
    </row>
    <row r="90" spans="1:5" ht="12.95" customHeight="1">
      <c r="A90" s="30">
        <f t="shared" si="7"/>
        <v>28</v>
      </c>
      <c r="B90" s="83">
        <f t="shared" si="6"/>
        <v>2.8319999999999901E-2</v>
      </c>
      <c r="C90" s="25"/>
      <c r="D90" s="47"/>
      <c r="E90" s="48"/>
    </row>
    <row r="91" spans="1:5" ht="12.95" customHeight="1">
      <c r="A91" s="30">
        <f t="shared" si="7"/>
        <v>29</v>
      </c>
      <c r="B91" s="83">
        <f t="shared" si="6"/>
        <v>1.8129999999999979E-2</v>
      </c>
      <c r="C91" s="25"/>
      <c r="D91" s="47"/>
      <c r="E91" s="48"/>
    </row>
    <row r="92" spans="1:5" ht="12.95" customHeight="1">
      <c r="A92" s="30">
        <v>30</v>
      </c>
      <c r="B92" s="83">
        <f t="shared" si="6"/>
        <v>9.9999999999997868E-3</v>
      </c>
      <c r="C92" s="25"/>
      <c r="D92" s="47"/>
      <c r="E92" s="48"/>
    </row>
    <row r="93" spans="1:5" ht="12.95" customHeight="1">
      <c r="A93" s="30">
        <v>31</v>
      </c>
      <c r="B93" s="83">
        <f t="shared" si="6"/>
        <v>3.9299999999999891E-3</v>
      </c>
      <c r="C93" s="25"/>
      <c r="D93" s="47"/>
      <c r="E93" s="48"/>
    </row>
    <row r="94" spans="1:5" ht="12.95" customHeight="1">
      <c r="A94" s="30">
        <v>32</v>
      </c>
      <c r="B94" s="83">
        <f t="shared" si="6"/>
        <v>-8.0000000000080007E-5</v>
      </c>
      <c r="C94" s="25"/>
      <c r="D94" s="47"/>
      <c r="E94" s="48"/>
    </row>
    <row r="95" spans="1:5" ht="12.95" customHeight="1">
      <c r="A95" s="31">
        <v>32</v>
      </c>
      <c r="B95" s="86">
        <v>0</v>
      </c>
      <c r="C95" s="25"/>
      <c r="D95" s="47"/>
      <c r="E95" s="48"/>
    </row>
    <row r="96" spans="1:5" ht="12.95" customHeight="1">
      <c r="A96" s="31">
        <v>33</v>
      </c>
      <c r="B96" s="86">
        <v>0</v>
      </c>
      <c r="C96" s="25"/>
      <c r="D96" s="47"/>
      <c r="E96" s="48"/>
    </row>
    <row r="97" spans="1:5" ht="12.95" customHeight="1" thickBot="1">
      <c r="A97" s="51">
        <v>34</v>
      </c>
      <c r="B97" s="107">
        <v>0</v>
      </c>
      <c r="C97" s="49"/>
      <c r="D97" s="49"/>
      <c r="E97" s="50"/>
    </row>
    <row r="98" spans="1:5" ht="12.95" customHeight="1" thickTop="1">
      <c r="A98" s="57"/>
      <c r="B98" s="58"/>
      <c r="C98" s="47"/>
      <c r="D98" s="47"/>
      <c r="E98" s="47"/>
    </row>
    <row r="99" spans="1:5" ht="12.95" customHeight="1" thickBot="1"/>
    <row r="100" spans="1:5" ht="30" customHeight="1" thickTop="1">
      <c r="A100" s="8" t="s">
        <v>12</v>
      </c>
      <c r="B100" s="9">
        <v>7</v>
      </c>
      <c r="C100" s="10" t="s">
        <v>10</v>
      </c>
      <c r="D100" s="11" t="s">
        <v>22</v>
      </c>
      <c r="E100" s="12" t="s">
        <v>23</v>
      </c>
    </row>
    <row r="101" spans="1:5" ht="30" customHeight="1">
      <c r="A101" s="13" t="s">
        <v>7</v>
      </c>
      <c r="B101" s="1" t="s">
        <v>20</v>
      </c>
      <c r="C101" s="60"/>
      <c r="D101" s="2"/>
      <c r="E101" s="61"/>
    </row>
    <row r="102" spans="1:5" ht="30" customHeight="1">
      <c r="A102" s="13" t="s">
        <v>15</v>
      </c>
      <c r="B102" s="1"/>
      <c r="C102" s="60"/>
      <c r="D102" s="2"/>
      <c r="E102" s="61"/>
    </row>
    <row r="103" spans="1:5" ht="30" customHeight="1" thickBot="1">
      <c r="A103" s="13" t="s">
        <v>8</v>
      </c>
      <c r="B103" s="1"/>
      <c r="C103" s="62"/>
      <c r="D103" s="63"/>
      <c r="E103" s="64"/>
    </row>
    <row r="104" spans="1:5" ht="30" customHeight="1">
      <c r="A104" s="13" t="s">
        <v>9</v>
      </c>
      <c r="B104" s="1" t="s">
        <v>86</v>
      </c>
      <c r="C104" s="4" t="s">
        <v>11</v>
      </c>
      <c r="D104" s="6">
        <v>20</v>
      </c>
      <c r="E104" s="65"/>
    </row>
    <row r="105" spans="1:5" ht="30" customHeight="1" thickBot="1">
      <c r="A105" s="14" t="s">
        <v>16</v>
      </c>
      <c r="B105" s="16" t="s">
        <v>17</v>
      </c>
      <c r="C105" s="5" t="s">
        <v>0</v>
      </c>
      <c r="D105" s="7">
        <f>IF(D104&lt;0,"valor del indicador fuera de rango",IF(D104&lt;=100,-0.01*(D104)+1,"valor del indicador fuera rango"))</f>
        <v>0.8</v>
      </c>
      <c r="E105" s="66"/>
    </row>
    <row r="106" spans="1:5" ht="30" customHeight="1">
      <c r="A106" s="15" t="s">
        <v>14</v>
      </c>
      <c r="B106" s="3" t="s">
        <v>0</v>
      </c>
      <c r="C106" s="146" t="s">
        <v>13</v>
      </c>
      <c r="D106" s="144"/>
      <c r="E106" s="145"/>
    </row>
    <row r="107" spans="1:5" ht="12.95" customHeight="1">
      <c r="A107" s="28">
        <v>0</v>
      </c>
      <c r="B107" s="24">
        <f t="shared" ref="B107:B123" si="8">-0.01*A107+1</f>
        <v>1</v>
      </c>
      <c r="C107" s="47"/>
      <c r="D107" s="47"/>
      <c r="E107" s="48"/>
    </row>
    <row r="108" spans="1:5" ht="12.95" customHeight="1">
      <c r="A108" s="29">
        <f t="shared" ref="A108:A117" si="9">A107+5</f>
        <v>5</v>
      </c>
      <c r="B108" s="24">
        <f t="shared" si="8"/>
        <v>0.95</v>
      </c>
      <c r="C108" s="25"/>
      <c r="D108" s="47"/>
      <c r="E108" s="48"/>
    </row>
    <row r="109" spans="1:5" ht="12.95" customHeight="1">
      <c r="A109" s="29">
        <f t="shared" si="9"/>
        <v>10</v>
      </c>
      <c r="B109" s="24">
        <f t="shared" si="8"/>
        <v>0.9</v>
      </c>
      <c r="C109" s="25"/>
      <c r="D109" s="47"/>
      <c r="E109" s="48"/>
    </row>
    <row r="110" spans="1:5" ht="12.95" customHeight="1">
      <c r="A110" s="29">
        <f t="shared" si="9"/>
        <v>15</v>
      </c>
      <c r="B110" s="24">
        <f t="shared" si="8"/>
        <v>0.85</v>
      </c>
      <c r="C110" s="25"/>
      <c r="D110" s="47"/>
      <c r="E110" s="48"/>
    </row>
    <row r="111" spans="1:5" ht="12.95" customHeight="1">
      <c r="A111" s="29">
        <f t="shared" si="9"/>
        <v>20</v>
      </c>
      <c r="B111" s="24">
        <f t="shared" si="8"/>
        <v>0.8</v>
      </c>
      <c r="C111" s="25"/>
      <c r="D111" s="47"/>
      <c r="E111" s="48"/>
    </row>
    <row r="112" spans="1:5" ht="12.95" customHeight="1">
      <c r="A112" s="29">
        <f t="shared" si="9"/>
        <v>25</v>
      </c>
      <c r="B112" s="24">
        <f t="shared" si="8"/>
        <v>0.75</v>
      </c>
      <c r="C112" s="25"/>
      <c r="D112" s="47"/>
      <c r="E112" s="48"/>
    </row>
    <row r="113" spans="1:5" ht="12.95" customHeight="1">
      <c r="A113" s="29">
        <f t="shared" si="9"/>
        <v>30</v>
      </c>
      <c r="B113" s="24">
        <f t="shared" si="8"/>
        <v>0.7</v>
      </c>
      <c r="C113" s="25"/>
      <c r="D113" s="47"/>
      <c r="E113" s="48"/>
    </row>
    <row r="114" spans="1:5" ht="12.95" customHeight="1">
      <c r="A114" s="29">
        <f t="shared" si="9"/>
        <v>35</v>
      </c>
      <c r="B114" s="24">
        <f t="shared" si="8"/>
        <v>0.64999999999999991</v>
      </c>
      <c r="C114" s="25"/>
      <c r="D114" s="47"/>
      <c r="E114" s="48"/>
    </row>
    <row r="115" spans="1:5" ht="12.95" customHeight="1">
      <c r="A115" s="29">
        <f t="shared" si="9"/>
        <v>40</v>
      </c>
      <c r="B115" s="24">
        <f t="shared" si="8"/>
        <v>0.6</v>
      </c>
      <c r="C115" s="25"/>
      <c r="D115" s="47"/>
      <c r="E115" s="48"/>
    </row>
    <row r="116" spans="1:5" ht="12.95" customHeight="1">
      <c r="A116" s="29">
        <f t="shared" si="9"/>
        <v>45</v>
      </c>
      <c r="B116" s="24">
        <f t="shared" si="8"/>
        <v>0.55000000000000004</v>
      </c>
      <c r="C116" s="25"/>
      <c r="D116" s="47"/>
      <c r="E116" s="48"/>
    </row>
    <row r="117" spans="1:5" ht="12.95" customHeight="1">
      <c r="A117" s="29">
        <f t="shared" si="9"/>
        <v>50</v>
      </c>
      <c r="B117" s="24">
        <f t="shared" si="8"/>
        <v>0.5</v>
      </c>
      <c r="C117" s="25"/>
      <c r="D117" s="47"/>
      <c r="E117" s="48"/>
    </row>
    <row r="118" spans="1:5" ht="12.95" customHeight="1">
      <c r="A118" s="29">
        <v>55</v>
      </c>
      <c r="B118" s="24">
        <f t="shared" si="8"/>
        <v>0.44999999999999996</v>
      </c>
      <c r="C118" s="25"/>
      <c r="D118" s="47"/>
      <c r="E118" s="48"/>
    </row>
    <row r="119" spans="1:5" ht="12.95" customHeight="1">
      <c r="A119" s="29">
        <v>60</v>
      </c>
      <c r="B119" s="24">
        <f t="shared" si="8"/>
        <v>0.4</v>
      </c>
      <c r="C119" s="25"/>
      <c r="D119" s="47"/>
      <c r="E119" s="48"/>
    </row>
    <row r="120" spans="1:5" ht="12.95" customHeight="1">
      <c r="A120" s="29">
        <v>70</v>
      </c>
      <c r="B120" s="24">
        <f t="shared" si="8"/>
        <v>0.29999999999999993</v>
      </c>
      <c r="C120" s="25"/>
      <c r="D120" s="47"/>
      <c r="E120" s="48"/>
    </row>
    <row r="121" spans="1:5" ht="12.95" customHeight="1">
      <c r="A121" s="29">
        <v>80</v>
      </c>
      <c r="B121" s="24">
        <f t="shared" si="8"/>
        <v>0.19999999999999996</v>
      </c>
      <c r="C121" s="25"/>
      <c r="D121" s="47"/>
      <c r="E121" s="48"/>
    </row>
    <row r="122" spans="1:5" ht="12.95" customHeight="1">
      <c r="A122" s="29">
        <v>90</v>
      </c>
      <c r="B122" s="24">
        <f t="shared" si="8"/>
        <v>9.9999999999999978E-2</v>
      </c>
      <c r="C122" s="25"/>
      <c r="D122" s="47"/>
      <c r="E122" s="48"/>
    </row>
    <row r="123" spans="1:5" ht="12.95" customHeight="1" thickBot="1">
      <c r="A123" s="56">
        <v>100</v>
      </c>
      <c r="B123" s="59">
        <f t="shared" si="8"/>
        <v>0</v>
      </c>
      <c r="C123" s="53"/>
      <c r="D123" s="49"/>
      <c r="E123" s="50"/>
    </row>
    <row r="124" spans="1:5" ht="12.95" customHeight="1" thickTop="1"/>
  </sheetData>
  <mergeCells count="4">
    <mergeCell ref="C7:E7"/>
    <mergeCell ref="C38:E38"/>
    <mergeCell ref="C72:E72"/>
    <mergeCell ref="C106:E106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E124"/>
  <sheetViews>
    <sheetView topLeftCell="B112" workbookViewId="0">
      <selection activeCell="D127" sqref="D127"/>
    </sheetView>
  </sheetViews>
  <sheetFormatPr baseColWidth="10" defaultRowHeight="12.95" customHeight="1"/>
  <cols>
    <col min="1" max="1" width="25.83203125" style="46" customWidth="1"/>
    <col min="2" max="2" width="40.83203125" style="46" customWidth="1"/>
    <col min="3" max="5" width="22.83203125" style="46" customWidth="1"/>
    <col min="6" max="6" width="9.33203125" style="46" customWidth="1"/>
    <col min="7" max="16384" width="12" style="46"/>
  </cols>
  <sheetData>
    <row r="1" spans="1:5" ht="30" customHeight="1" thickTop="1">
      <c r="A1" s="8" t="s">
        <v>12</v>
      </c>
      <c r="B1" s="9">
        <v>8</v>
      </c>
      <c r="C1" s="10" t="s">
        <v>10</v>
      </c>
      <c r="D1" s="11" t="s">
        <v>24</v>
      </c>
      <c r="E1" s="12" t="s">
        <v>25</v>
      </c>
    </row>
    <row r="2" spans="1:5" ht="30" customHeight="1">
      <c r="A2" s="13" t="s">
        <v>7</v>
      </c>
      <c r="B2" s="1" t="s">
        <v>94</v>
      </c>
      <c r="C2" s="60"/>
      <c r="D2" s="2" t="s">
        <v>26</v>
      </c>
      <c r="E2" s="61" t="s">
        <v>27</v>
      </c>
    </row>
    <row r="3" spans="1:5" ht="30" customHeight="1">
      <c r="A3" s="13" t="s">
        <v>15</v>
      </c>
      <c r="B3" s="1"/>
      <c r="C3" s="60"/>
      <c r="D3" s="2"/>
      <c r="E3" s="61"/>
    </row>
    <row r="4" spans="1:5" ht="30" customHeight="1" thickBot="1">
      <c r="A4" s="13" t="s">
        <v>8</v>
      </c>
      <c r="B4" s="17" t="s">
        <v>93</v>
      </c>
      <c r="C4" s="62"/>
      <c r="D4" s="63"/>
      <c r="E4" s="64"/>
    </row>
    <row r="5" spans="1:5" ht="30" customHeight="1">
      <c r="A5" s="13" t="s">
        <v>9</v>
      </c>
      <c r="B5" s="1" t="s">
        <v>91</v>
      </c>
      <c r="C5" s="4" t="s">
        <v>11</v>
      </c>
      <c r="D5" s="6">
        <v>110</v>
      </c>
      <c r="E5" s="65"/>
    </row>
    <row r="6" spans="1:5" ht="30" customHeight="1" thickBot="1">
      <c r="A6" s="14" t="s">
        <v>16</v>
      </c>
      <c r="B6" s="16" t="s">
        <v>17</v>
      </c>
      <c r="C6" s="5" t="s">
        <v>0</v>
      </c>
      <c r="D6" s="7">
        <f>IF(D5&lt;0,"valor del indicador fuera de rango",IF(D5&lt;=104.5,-0.000025*(D5^2)-(0.00221*D5)+1,IF(D5&lt;=200,(0.0000151*(D5^2))-(0.00981*D5)+1.36,"valor del indicador fuera rango")))</f>
        <v>0.46361000000000008</v>
      </c>
      <c r="E6" s="66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28">
        <v>0</v>
      </c>
      <c r="B8" s="104">
        <f>-0.000025*(A8^2)-(0.00221*A8)+1</f>
        <v>1</v>
      </c>
      <c r="C8" s="47"/>
      <c r="D8" s="47"/>
      <c r="E8" s="48"/>
    </row>
    <row r="9" spans="1:5" ht="12.95" customHeight="1">
      <c r="A9" s="29">
        <v>10</v>
      </c>
      <c r="B9" s="104">
        <f t="shared" ref="B9:B18" si="0">-0.000025*(A9^2)-(0.00221*A9)+1</f>
        <v>0.97540000000000004</v>
      </c>
      <c r="C9" s="25"/>
      <c r="D9" s="47"/>
      <c r="E9" s="48"/>
    </row>
    <row r="10" spans="1:5" ht="12.95" customHeight="1">
      <c r="A10" s="29">
        <v>20</v>
      </c>
      <c r="B10" s="104">
        <f t="shared" si="0"/>
        <v>0.94579999999999997</v>
      </c>
      <c r="C10" s="25"/>
      <c r="D10" s="47"/>
      <c r="E10" s="48"/>
    </row>
    <row r="11" spans="1:5" ht="12.95" customHeight="1">
      <c r="A11" s="29">
        <v>30</v>
      </c>
      <c r="B11" s="104">
        <f t="shared" si="0"/>
        <v>0.91120000000000001</v>
      </c>
      <c r="C11" s="25"/>
      <c r="D11" s="47"/>
      <c r="E11" s="48"/>
    </row>
    <row r="12" spans="1:5" ht="12.95" customHeight="1">
      <c r="A12" s="29">
        <v>40</v>
      </c>
      <c r="B12" s="104">
        <f t="shared" si="0"/>
        <v>0.87159999999999993</v>
      </c>
      <c r="C12" s="25"/>
      <c r="D12" s="47"/>
      <c r="E12" s="48"/>
    </row>
    <row r="13" spans="1:5" ht="12.95" customHeight="1">
      <c r="A13" s="29">
        <v>50</v>
      </c>
      <c r="B13" s="104">
        <f t="shared" si="0"/>
        <v>0.82699999999999996</v>
      </c>
      <c r="C13" s="25"/>
      <c r="D13" s="47"/>
      <c r="E13" s="48"/>
    </row>
    <row r="14" spans="1:5" ht="12.95" customHeight="1">
      <c r="A14" s="29">
        <v>60</v>
      </c>
      <c r="B14" s="104">
        <f t="shared" si="0"/>
        <v>0.77739999999999998</v>
      </c>
      <c r="C14" s="25"/>
      <c r="D14" s="47"/>
      <c r="E14" s="48"/>
    </row>
    <row r="15" spans="1:5" ht="12.95" customHeight="1">
      <c r="A15" s="29">
        <v>70</v>
      </c>
      <c r="B15" s="104">
        <f t="shared" si="0"/>
        <v>0.7228</v>
      </c>
      <c r="C15" s="25"/>
      <c r="D15" s="47"/>
      <c r="E15" s="48"/>
    </row>
    <row r="16" spans="1:5" ht="12.95" customHeight="1">
      <c r="A16" s="29">
        <v>80</v>
      </c>
      <c r="B16" s="104">
        <f t="shared" si="0"/>
        <v>0.66320000000000001</v>
      </c>
      <c r="C16" s="25"/>
      <c r="D16" s="47"/>
      <c r="E16" s="48"/>
    </row>
    <row r="17" spans="1:5" ht="12.95" customHeight="1">
      <c r="A17" s="29">
        <v>90</v>
      </c>
      <c r="B17" s="104">
        <f t="shared" si="0"/>
        <v>0.59860000000000002</v>
      </c>
      <c r="C17" s="25"/>
      <c r="D17" s="47"/>
      <c r="E17" s="48"/>
    </row>
    <row r="18" spans="1:5" ht="12.95" customHeight="1">
      <c r="A18" s="29">
        <v>100</v>
      </c>
      <c r="B18" s="104">
        <f t="shared" si="0"/>
        <v>0.52899999999999991</v>
      </c>
      <c r="C18" s="25"/>
      <c r="D18" s="47"/>
      <c r="E18" s="48"/>
    </row>
    <row r="19" spans="1:5" ht="12.95" customHeight="1">
      <c r="A19" s="30">
        <v>105</v>
      </c>
      <c r="B19" s="105">
        <f>0.0000151*(A19^2)-(0.00981*A19)+1.36</f>
        <v>0.49642750000000024</v>
      </c>
      <c r="C19" s="25"/>
      <c r="D19" s="47"/>
      <c r="E19" s="48"/>
    </row>
    <row r="20" spans="1:5" ht="12.95" customHeight="1">
      <c r="A20" s="30">
        <v>110</v>
      </c>
      <c r="B20" s="105">
        <f t="shared" ref="B20:B29" si="1">0.0000151*(A20^2)-(0.00981*A20)+1.36</f>
        <v>0.46361000000000008</v>
      </c>
      <c r="C20" s="25"/>
      <c r="D20" s="47"/>
      <c r="E20" s="48"/>
    </row>
    <row r="21" spans="1:5" ht="12.95" customHeight="1">
      <c r="A21" s="30">
        <f t="shared" ref="A21:A29" si="2">+A20+10</f>
        <v>120</v>
      </c>
      <c r="B21" s="105">
        <f t="shared" si="1"/>
        <v>0.40024000000000004</v>
      </c>
      <c r="C21" s="25"/>
      <c r="D21" s="47"/>
      <c r="E21" s="48"/>
    </row>
    <row r="22" spans="1:5" ht="12.95" customHeight="1">
      <c r="A22" s="30">
        <f t="shared" si="2"/>
        <v>130</v>
      </c>
      <c r="B22" s="105">
        <f t="shared" si="1"/>
        <v>0.33989000000000025</v>
      </c>
      <c r="C22" s="25"/>
      <c r="D22" s="47"/>
      <c r="E22" s="48"/>
    </row>
    <row r="23" spans="1:5" ht="12.95" customHeight="1">
      <c r="A23" s="30">
        <f t="shared" si="2"/>
        <v>140</v>
      </c>
      <c r="B23" s="105">
        <f t="shared" si="1"/>
        <v>0.28256000000000014</v>
      </c>
      <c r="C23" s="25"/>
      <c r="D23" s="47"/>
      <c r="E23" s="48"/>
    </row>
    <row r="24" spans="1:5" ht="12.95" customHeight="1">
      <c r="A24" s="30">
        <f t="shared" si="2"/>
        <v>150</v>
      </c>
      <c r="B24" s="105">
        <f t="shared" si="1"/>
        <v>0.22825000000000029</v>
      </c>
      <c r="C24" s="25"/>
      <c r="D24" s="47"/>
      <c r="E24" s="48"/>
    </row>
    <row r="25" spans="1:5" ht="12.95" customHeight="1">
      <c r="A25" s="30">
        <f t="shared" si="2"/>
        <v>160</v>
      </c>
      <c r="B25" s="105">
        <f t="shared" si="1"/>
        <v>0.17696000000000023</v>
      </c>
      <c r="C25" s="25"/>
      <c r="D25" s="47"/>
      <c r="E25" s="48"/>
    </row>
    <row r="26" spans="1:5" ht="12.95" customHeight="1">
      <c r="A26" s="30">
        <f t="shared" si="2"/>
        <v>170</v>
      </c>
      <c r="B26" s="105">
        <f t="shared" si="1"/>
        <v>0.12869000000000019</v>
      </c>
      <c r="C26" s="25"/>
      <c r="D26" s="47"/>
      <c r="E26" s="48"/>
    </row>
    <row r="27" spans="1:5" ht="12.95" customHeight="1">
      <c r="A27" s="30">
        <f t="shared" si="2"/>
        <v>180</v>
      </c>
      <c r="B27" s="105">
        <f t="shared" si="1"/>
        <v>8.3440000000000181E-2</v>
      </c>
      <c r="C27" s="25"/>
      <c r="D27" s="47"/>
      <c r="E27" s="48"/>
    </row>
    <row r="28" spans="1:5" ht="12.95" customHeight="1">
      <c r="A28" s="30">
        <f t="shared" si="2"/>
        <v>190</v>
      </c>
      <c r="B28" s="105">
        <f t="shared" si="1"/>
        <v>4.1210000000000191E-2</v>
      </c>
      <c r="C28" s="25"/>
      <c r="D28" s="47"/>
      <c r="E28" s="48"/>
    </row>
    <row r="29" spans="1:5" ht="12.95" customHeight="1" thickBot="1">
      <c r="A29" s="84">
        <f t="shared" si="2"/>
        <v>200</v>
      </c>
      <c r="B29" s="106">
        <f t="shared" si="1"/>
        <v>2.0000000000004459E-3</v>
      </c>
      <c r="C29" s="53"/>
      <c r="D29" s="49"/>
      <c r="E29" s="50"/>
    </row>
    <row r="30" spans="1:5" ht="12.95" customHeight="1" thickTop="1"/>
    <row r="31" spans="1:5" ht="12.95" customHeight="1" thickBot="1"/>
    <row r="32" spans="1:5" ht="30" customHeight="1" thickTop="1">
      <c r="A32" s="8" t="s">
        <v>12</v>
      </c>
      <c r="B32" s="9">
        <v>9</v>
      </c>
      <c r="C32" s="10" t="s">
        <v>10</v>
      </c>
      <c r="D32" s="11" t="s">
        <v>24</v>
      </c>
      <c r="E32" s="12" t="s">
        <v>25</v>
      </c>
    </row>
    <row r="33" spans="1:5" ht="30" customHeight="1">
      <c r="A33" s="13" t="s">
        <v>7</v>
      </c>
      <c r="B33" s="1" t="s">
        <v>95</v>
      </c>
      <c r="C33" s="60"/>
      <c r="D33" s="2" t="s">
        <v>26</v>
      </c>
      <c r="E33" s="61" t="s">
        <v>27</v>
      </c>
    </row>
    <row r="34" spans="1:5" ht="30" customHeight="1">
      <c r="A34" s="13" t="s">
        <v>15</v>
      </c>
      <c r="B34" s="1"/>
      <c r="C34" s="60"/>
      <c r="D34" s="2"/>
      <c r="E34" s="61"/>
    </row>
    <row r="35" spans="1:5" ht="30" customHeight="1" thickBot="1">
      <c r="A35" s="13" t="s">
        <v>8</v>
      </c>
      <c r="B35" s="17" t="s">
        <v>93</v>
      </c>
      <c r="C35" s="62"/>
      <c r="D35" s="63"/>
      <c r="E35" s="64"/>
    </row>
    <row r="36" spans="1:5" ht="30" customHeight="1">
      <c r="A36" s="13" t="s">
        <v>9</v>
      </c>
      <c r="B36" s="1" t="s">
        <v>91</v>
      </c>
      <c r="C36" s="4" t="s">
        <v>11</v>
      </c>
      <c r="D36" s="6">
        <v>40</v>
      </c>
      <c r="E36" s="65"/>
    </row>
    <row r="37" spans="1:5" ht="30" customHeight="1" thickBot="1">
      <c r="A37" s="14" t="s">
        <v>16</v>
      </c>
      <c r="B37" s="16" t="s">
        <v>17</v>
      </c>
      <c r="C37" s="5" t="s">
        <v>0</v>
      </c>
      <c r="D37" s="7">
        <f>IF(D36&lt;0,"valor del indicador fuera de rango",IF(D36&lt;=104.5,-0.000025*(D36^2)-(0.00221*D36)+1,IF(D36&lt;=200,(0.0000151*(D36^2))-(0.00981*D36)+1.36,"valor del indicador fuera rango")))</f>
        <v>0.87159999999999993</v>
      </c>
      <c r="E37" s="66"/>
    </row>
    <row r="38" spans="1:5" ht="30" customHeight="1">
      <c r="A38" s="15" t="s">
        <v>14</v>
      </c>
      <c r="B38" s="3" t="s">
        <v>0</v>
      </c>
      <c r="C38" s="146" t="s">
        <v>13</v>
      </c>
      <c r="D38" s="144"/>
      <c r="E38" s="145"/>
    </row>
    <row r="39" spans="1:5" ht="12.95" customHeight="1">
      <c r="A39" s="28">
        <v>0</v>
      </c>
      <c r="B39" s="104">
        <f>-0.000025*(A39^2)-(0.00221*A39)+1</f>
        <v>1</v>
      </c>
      <c r="C39" s="47"/>
      <c r="D39" s="47"/>
      <c r="E39" s="48"/>
    </row>
    <row r="40" spans="1:5" ht="12.95" customHeight="1">
      <c r="A40" s="29">
        <v>10</v>
      </c>
      <c r="B40" s="104">
        <f t="shared" ref="B40:B49" si="3">-0.000025*(A40^2)-(0.00221*A40)+1</f>
        <v>0.97540000000000004</v>
      </c>
      <c r="C40" s="25"/>
      <c r="D40" s="47"/>
      <c r="E40" s="48"/>
    </row>
    <row r="41" spans="1:5" ht="12.95" customHeight="1">
      <c r="A41" s="29">
        <v>20</v>
      </c>
      <c r="B41" s="104">
        <f t="shared" si="3"/>
        <v>0.94579999999999997</v>
      </c>
      <c r="C41" s="25"/>
      <c r="D41" s="47"/>
      <c r="E41" s="48"/>
    </row>
    <row r="42" spans="1:5" ht="12.95" customHeight="1">
      <c r="A42" s="29">
        <v>30</v>
      </c>
      <c r="B42" s="104">
        <f t="shared" si="3"/>
        <v>0.91120000000000001</v>
      </c>
      <c r="C42" s="25"/>
      <c r="D42" s="47"/>
      <c r="E42" s="48"/>
    </row>
    <row r="43" spans="1:5" ht="12.95" customHeight="1">
      <c r="A43" s="29">
        <v>40</v>
      </c>
      <c r="B43" s="104">
        <f t="shared" si="3"/>
        <v>0.87159999999999993</v>
      </c>
      <c r="C43" s="25"/>
      <c r="D43" s="47"/>
      <c r="E43" s="48"/>
    </row>
    <row r="44" spans="1:5" ht="12.95" customHeight="1">
      <c r="A44" s="29">
        <v>50</v>
      </c>
      <c r="B44" s="104">
        <f t="shared" si="3"/>
        <v>0.82699999999999996</v>
      </c>
      <c r="C44" s="25"/>
      <c r="D44" s="47"/>
      <c r="E44" s="48"/>
    </row>
    <row r="45" spans="1:5" ht="12.95" customHeight="1">
      <c r="A45" s="29">
        <v>60</v>
      </c>
      <c r="B45" s="104">
        <f t="shared" si="3"/>
        <v>0.77739999999999998</v>
      </c>
      <c r="C45" s="25"/>
      <c r="D45" s="47"/>
      <c r="E45" s="48"/>
    </row>
    <row r="46" spans="1:5" ht="12.95" customHeight="1">
      <c r="A46" s="29">
        <v>70</v>
      </c>
      <c r="B46" s="104">
        <f t="shared" si="3"/>
        <v>0.7228</v>
      </c>
      <c r="C46" s="25"/>
      <c r="D46" s="47"/>
      <c r="E46" s="48"/>
    </row>
    <row r="47" spans="1:5" ht="12.95" customHeight="1">
      <c r="A47" s="29">
        <v>80</v>
      </c>
      <c r="B47" s="104">
        <f t="shared" si="3"/>
        <v>0.66320000000000001</v>
      </c>
      <c r="C47" s="25"/>
      <c r="D47" s="47"/>
      <c r="E47" s="48"/>
    </row>
    <row r="48" spans="1:5" ht="12.95" customHeight="1">
      <c r="A48" s="29">
        <v>90</v>
      </c>
      <c r="B48" s="104">
        <f t="shared" si="3"/>
        <v>0.59860000000000002</v>
      </c>
      <c r="C48" s="25"/>
      <c r="D48" s="47"/>
      <c r="E48" s="48"/>
    </row>
    <row r="49" spans="1:5" ht="12.95" customHeight="1">
      <c r="A49" s="29">
        <v>100</v>
      </c>
      <c r="B49" s="104">
        <f t="shared" si="3"/>
        <v>0.52899999999999991</v>
      </c>
      <c r="C49" s="25"/>
      <c r="D49" s="47"/>
      <c r="E49" s="48"/>
    </row>
    <row r="50" spans="1:5" ht="12.95" customHeight="1">
      <c r="A50" s="30">
        <v>105</v>
      </c>
      <c r="B50" s="105">
        <f>0.0000151*(A50^2)-(0.00981*A50)+1.36</f>
        <v>0.49642750000000024</v>
      </c>
      <c r="C50" s="25"/>
      <c r="D50" s="47"/>
      <c r="E50" s="48"/>
    </row>
    <row r="51" spans="1:5" ht="12.95" customHeight="1">
      <c r="A51" s="30">
        <v>110</v>
      </c>
      <c r="B51" s="105">
        <f t="shared" ref="B51:B63" si="4">0.0000151*(A51^2)-(0.00981*A51)+1.36</f>
        <v>0.46361000000000008</v>
      </c>
      <c r="C51" s="25"/>
      <c r="D51" s="47"/>
      <c r="E51" s="48"/>
    </row>
    <row r="52" spans="1:5" ht="12.95" customHeight="1">
      <c r="A52" s="30">
        <v>115</v>
      </c>
      <c r="B52" s="105">
        <f t="shared" si="4"/>
        <v>0.43154750000000008</v>
      </c>
      <c r="C52" s="25"/>
      <c r="D52" s="47"/>
      <c r="E52" s="48"/>
    </row>
    <row r="53" spans="1:5" ht="12.95" customHeight="1">
      <c r="A53" s="30">
        <v>120</v>
      </c>
      <c r="B53" s="105">
        <f t="shared" si="4"/>
        <v>0.40024000000000004</v>
      </c>
      <c r="C53" s="25"/>
      <c r="D53" s="47"/>
      <c r="E53" s="48"/>
    </row>
    <row r="54" spans="1:5" ht="12.95" customHeight="1">
      <c r="A54" s="30">
        <v>125</v>
      </c>
      <c r="B54" s="105">
        <f t="shared" si="4"/>
        <v>0.36968750000000028</v>
      </c>
      <c r="C54" s="25"/>
      <c r="D54" s="47"/>
      <c r="E54" s="48"/>
    </row>
    <row r="55" spans="1:5" ht="12.95" customHeight="1">
      <c r="A55" s="30">
        <f t="shared" ref="A55:A60" si="5">+A54+10</f>
        <v>135</v>
      </c>
      <c r="B55" s="105">
        <f t="shared" si="4"/>
        <v>0.31084750000000017</v>
      </c>
      <c r="C55" s="25"/>
      <c r="D55" s="47"/>
      <c r="E55" s="48"/>
    </row>
    <row r="56" spans="1:5" ht="12.95" customHeight="1">
      <c r="A56" s="30">
        <f t="shared" si="5"/>
        <v>145</v>
      </c>
      <c r="B56" s="105">
        <f t="shared" si="4"/>
        <v>0.25502749999999996</v>
      </c>
      <c r="C56" s="25"/>
      <c r="D56" s="47"/>
      <c r="E56" s="48"/>
    </row>
    <row r="57" spans="1:5" ht="12.95" customHeight="1">
      <c r="A57" s="30">
        <f t="shared" si="5"/>
        <v>155</v>
      </c>
      <c r="B57" s="105">
        <f t="shared" si="4"/>
        <v>0.20222750000000023</v>
      </c>
      <c r="C57" s="25"/>
      <c r="D57" s="47"/>
      <c r="E57" s="48"/>
    </row>
    <row r="58" spans="1:5" ht="12.95" customHeight="1">
      <c r="A58" s="30">
        <f t="shared" si="5"/>
        <v>165</v>
      </c>
      <c r="B58" s="105">
        <f t="shared" si="4"/>
        <v>0.15244750000000029</v>
      </c>
      <c r="C58" s="25"/>
      <c r="D58" s="47"/>
      <c r="E58" s="48"/>
    </row>
    <row r="59" spans="1:5" ht="12.95" customHeight="1">
      <c r="A59" s="30">
        <f t="shared" si="5"/>
        <v>175</v>
      </c>
      <c r="B59" s="105">
        <f t="shared" si="4"/>
        <v>0.10568750000000038</v>
      </c>
      <c r="C59" s="25"/>
      <c r="D59" s="47"/>
      <c r="E59" s="48"/>
    </row>
    <row r="60" spans="1:5" ht="12.95" customHeight="1">
      <c r="A60" s="30">
        <f t="shared" si="5"/>
        <v>185</v>
      </c>
      <c r="B60" s="105">
        <f t="shared" si="4"/>
        <v>6.1947500000000266E-2</v>
      </c>
      <c r="C60" s="25"/>
      <c r="D60" s="47"/>
      <c r="E60" s="48"/>
    </row>
    <row r="61" spans="1:5" ht="12.95" customHeight="1">
      <c r="A61" s="30">
        <f>+A60+5</f>
        <v>190</v>
      </c>
      <c r="B61" s="105">
        <f t="shared" si="4"/>
        <v>4.1210000000000191E-2</v>
      </c>
      <c r="C61" s="25"/>
      <c r="D61" s="47"/>
      <c r="E61" s="48"/>
    </row>
    <row r="62" spans="1:5" ht="12.95" customHeight="1">
      <c r="A62" s="30">
        <f>+A61+5</f>
        <v>195</v>
      </c>
      <c r="B62" s="105">
        <f t="shared" si="4"/>
        <v>2.1227500000000177E-2</v>
      </c>
      <c r="C62" s="25"/>
      <c r="D62" s="47"/>
      <c r="E62" s="48"/>
    </row>
    <row r="63" spans="1:5" ht="12.95" customHeight="1" thickBot="1">
      <c r="A63" s="84">
        <f>+A62+5</f>
        <v>200</v>
      </c>
      <c r="B63" s="106">
        <f t="shared" si="4"/>
        <v>2.0000000000004459E-3</v>
      </c>
      <c r="C63" s="53"/>
      <c r="D63" s="53"/>
      <c r="E63" s="55"/>
    </row>
    <row r="64" spans="1:5" ht="12.95" customHeight="1" thickTop="1"/>
    <row r="65" spans="1:5" ht="12.95" customHeight="1" thickBot="1"/>
    <row r="66" spans="1:5" ht="30" customHeight="1" thickTop="1">
      <c r="A66" s="8" t="s">
        <v>12</v>
      </c>
      <c r="B66" s="9">
        <v>10</v>
      </c>
      <c r="C66" s="10" t="s">
        <v>10</v>
      </c>
      <c r="D66" s="11" t="s">
        <v>24</v>
      </c>
      <c r="E66" s="12" t="s">
        <v>25</v>
      </c>
    </row>
    <row r="67" spans="1:5" ht="30" customHeight="1">
      <c r="A67" s="13" t="s">
        <v>7</v>
      </c>
      <c r="B67" s="1" t="s">
        <v>96</v>
      </c>
      <c r="C67" s="60"/>
      <c r="D67" s="2" t="s">
        <v>26</v>
      </c>
      <c r="E67" s="61" t="s">
        <v>27</v>
      </c>
    </row>
    <row r="68" spans="1:5" ht="30" customHeight="1">
      <c r="A68" s="13" t="s">
        <v>15</v>
      </c>
      <c r="B68" s="1"/>
      <c r="C68" s="60"/>
      <c r="D68" s="2"/>
      <c r="E68" s="61"/>
    </row>
    <row r="69" spans="1:5" ht="30" customHeight="1" thickBot="1">
      <c r="A69" s="13" t="s">
        <v>8</v>
      </c>
      <c r="B69" s="17" t="s">
        <v>93</v>
      </c>
      <c r="C69" s="62"/>
      <c r="D69" s="63"/>
      <c r="E69" s="64"/>
    </row>
    <row r="70" spans="1:5" ht="30" customHeight="1">
      <c r="A70" s="13" t="s">
        <v>9</v>
      </c>
      <c r="B70" s="1" t="s">
        <v>91</v>
      </c>
      <c r="C70" s="4" t="s">
        <v>11</v>
      </c>
      <c r="D70" s="6">
        <v>110</v>
      </c>
      <c r="E70" s="65"/>
    </row>
    <row r="71" spans="1:5" ht="30" customHeight="1" thickBot="1">
      <c r="A71" s="14" t="s">
        <v>16</v>
      </c>
      <c r="B71" s="16" t="s">
        <v>17</v>
      </c>
      <c r="C71" s="5" t="s">
        <v>0</v>
      </c>
      <c r="D71" s="7">
        <f>IF(D70&lt;0,"valor del indicador fuera de rango",IF(D70&lt;=104.5,-0.000025*(D70^2)-(0.00221*D70)+1,IF(D70&lt;=200,(0.0000151*(D70^2))-(0.00981*D70)+1.36,"valor del indicador fuera rango")))</f>
        <v>0.46361000000000008</v>
      </c>
      <c r="E71" s="66"/>
    </row>
    <row r="72" spans="1:5" ht="30" customHeight="1">
      <c r="A72" s="15" t="s">
        <v>14</v>
      </c>
      <c r="B72" s="3" t="s">
        <v>0</v>
      </c>
      <c r="C72" s="146" t="s">
        <v>13</v>
      </c>
      <c r="D72" s="144"/>
      <c r="E72" s="145"/>
    </row>
    <row r="73" spans="1:5" ht="12.95" customHeight="1">
      <c r="A73" s="28">
        <v>0</v>
      </c>
      <c r="B73" s="104">
        <f>-0.000025*(A73^2)-(0.00221*A73)+1</f>
        <v>1</v>
      </c>
      <c r="C73" s="47"/>
      <c r="D73" s="47"/>
      <c r="E73" s="48"/>
    </row>
    <row r="74" spans="1:5" ht="12.95" customHeight="1">
      <c r="A74" s="29">
        <v>10</v>
      </c>
      <c r="B74" s="104">
        <f t="shared" ref="B74:B83" si="6">-0.000025*(A74^2)-(0.00221*A74)+1</f>
        <v>0.97540000000000004</v>
      </c>
      <c r="C74" s="25"/>
      <c r="D74" s="47"/>
      <c r="E74" s="48"/>
    </row>
    <row r="75" spans="1:5" ht="12.95" customHeight="1">
      <c r="A75" s="29">
        <v>20</v>
      </c>
      <c r="B75" s="104">
        <f t="shared" si="6"/>
        <v>0.94579999999999997</v>
      </c>
      <c r="C75" s="25"/>
      <c r="D75" s="47"/>
      <c r="E75" s="48"/>
    </row>
    <row r="76" spans="1:5" ht="12.95" customHeight="1">
      <c r="A76" s="29">
        <v>30</v>
      </c>
      <c r="B76" s="104">
        <f t="shared" si="6"/>
        <v>0.91120000000000001</v>
      </c>
      <c r="C76" s="25"/>
      <c r="D76" s="47"/>
      <c r="E76" s="48"/>
    </row>
    <row r="77" spans="1:5" ht="12.95" customHeight="1">
      <c r="A77" s="29">
        <v>40</v>
      </c>
      <c r="B77" s="104">
        <f t="shared" si="6"/>
        <v>0.87159999999999993</v>
      </c>
      <c r="C77" s="25"/>
      <c r="D77" s="47"/>
      <c r="E77" s="48"/>
    </row>
    <row r="78" spans="1:5" ht="12.95" customHeight="1">
      <c r="A78" s="29">
        <v>50</v>
      </c>
      <c r="B78" s="104">
        <f t="shared" si="6"/>
        <v>0.82699999999999996</v>
      </c>
      <c r="C78" s="25"/>
      <c r="D78" s="47"/>
      <c r="E78" s="48"/>
    </row>
    <row r="79" spans="1:5" ht="12.95" customHeight="1">
      <c r="A79" s="29">
        <v>60</v>
      </c>
      <c r="B79" s="104">
        <f t="shared" si="6"/>
        <v>0.77739999999999998</v>
      </c>
      <c r="C79" s="25"/>
      <c r="D79" s="47"/>
      <c r="E79" s="48"/>
    </row>
    <row r="80" spans="1:5" ht="12.95" customHeight="1">
      <c r="A80" s="29">
        <v>70</v>
      </c>
      <c r="B80" s="104">
        <f t="shared" si="6"/>
        <v>0.7228</v>
      </c>
      <c r="C80" s="25"/>
      <c r="D80" s="47"/>
      <c r="E80" s="48"/>
    </row>
    <row r="81" spans="1:5" ht="12.95" customHeight="1">
      <c r="A81" s="29">
        <v>80</v>
      </c>
      <c r="B81" s="104">
        <f t="shared" si="6"/>
        <v>0.66320000000000001</v>
      </c>
      <c r="C81" s="25"/>
      <c r="D81" s="47"/>
      <c r="E81" s="48"/>
    </row>
    <row r="82" spans="1:5" ht="12.95" customHeight="1">
      <c r="A82" s="29">
        <v>90</v>
      </c>
      <c r="B82" s="104">
        <f t="shared" si="6"/>
        <v>0.59860000000000002</v>
      </c>
      <c r="C82" s="25"/>
      <c r="D82" s="47"/>
      <c r="E82" s="48"/>
    </row>
    <row r="83" spans="1:5" ht="12.95" customHeight="1">
      <c r="A83" s="29">
        <v>100</v>
      </c>
      <c r="B83" s="104">
        <f t="shared" si="6"/>
        <v>0.52899999999999991</v>
      </c>
      <c r="C83" s="25"/>
      <c r="D83" s="47"/>
      <c r="E83" s="48"/>
    </row>
    <row r="84" spans="1:5" ht="12.95" customHeight="1">
      <c r="A84" s="30">
        <v>105</v>
      </c>
      <c r="B84" s="105">
        <f>0.0000151*(A84^2)-(0.00981*A84)+1.36</f>
        <v>0.49642750000000024</v>
      </c>
      <c r="C84" s="25"/>
      <c r="D84" s="47"/>
      <c r="E84" s="48"/>
    </row>
    <row r="85" spans="1:5" ht="12.95" customHeight="1">
      <c r="A85" s="30">
        <v>110</v>
      </c>
      <c r="B85" s="105">
        <f t="shared" ref="B85:B97" si="7">0.0000151*(A85^2)-(0.00981*A85)+1.36</f>
        <v>0.46361000000000008</v>
      </c>
      <c r="C85" s="25"/>
      <c r="D85" s="47"/>
      <c r="E85" s="48"/>
    </row>
    <row r="86" spans="1:5" ht="12.95" customHeight="1">
      <c r="A86" s="30">
        <v>115</v>
      </c>
      <c r="B86" s="105">
        <f t="shared" si="7"/>
        <v>0.43154750000000008</v>
      </c>
      <c r="C86" s="25"/>
      <c r="D86" s="47"/>
      <c r="E86" s="48"/>
    </row>
    <row r="87" spans="1:5" ht="12.95" customHeight="1">
      <c r="A87" s="30">
        <v>120</v>
      </c>
      <c r="B87" s="105">
        <f t="shared" si="7"/>
        <v>0.40024000000000004</v>
      </c>
      <c r="C87" s="25"/>
      <c r="D87" s="47"/>
      <c r="E87" s="48"/>
    </row>
    <row r="88" spans="1:5" ht="12.95" customHeight="1">
      <c r="A88" s="30">
        <v>125</v>
      </c>
      <c r="B88" s="105">
        <f t="shared" si="7"/>
        <v>0.36968750000000028</v>
      </c>
      <c r="C88" s="25"/>
      <c r="D88" s="47"/>
      <c r="E88" s="48"/>
    </row>
    <row r="89" spans="1:5" ht="12.95" customHeight="1">
      <c r="A89" s="30">
        <f t="shared" ref="A89:A94" si="8">+A88+10</f>
        <v>135</v>
      </c>
      <c r="B89" s="105">
        <f t="shared" si="7"/>
        <v>0.31084750000000017</v>
      </c>
      <c r="C89" s="25"/>
      <c r="D89" s="47"/>
      <c r="E89" s="48"/>
    </row>
    <row r="90" spans="1:5" ht="12.95" customHeight="1">
      <c r="A90" s="30">
        <f t="shared" si="8"/>
        <v>145</v>
      </c>
      <c r="B90" s="105">
        <f t="shared" si="7"/>
        <v>0.25502749999999996</v>
      </c>
      <c r="C90" s="25"/>
      <c r="D90" s="47"/>
      <c r="E90" s="48"/>
    </row>
    <row r="91" spans="1:5" ht="12.95" customHeight="1">
      <c r="A91" s="30">
        <f t="shared" si="8"/>
        <v>155</v>
      </c>
      <c r="B91" s="105">
        <f t="shared" si="7"/>
        <v>0.20222750000000023</v>
      </c>
      <c r="C91" s="25"/>
      <c r="D91" s="47"/>
      <c r="E91" s="48"/>
    </row>
    <row r="92" spans="1:5" ht="12.95" customHeight="1">
      <c r="A92" s="30">
        <f t="shared" si="8"/>
        <v>165</v>
      </c>
      <c r="B92" s="105">
        <f t="shared" si="7"/>
        <v>0.15244750000000029</v>
      </c>
      <c r="C92" s="25"/>
      <c r="D92" s="47"/>
      <c r="E92" s="48"/>
    </row>
    <row r="93" spans="1:5" ht="12.95" customHeight="1">
      <c r="A93" s="30">
        <f t="shared" si="8"/>
        <v>175</v>
      </c>
      <c r="B93" s="105">
        <f t="shared" si="7"/>
        <v>0.10568750000000038</v>
      </c>
      <c r="C93" s="25"/>
      <c r="D93" s="47"/>
      <c r="E93" s="48"/>
    </row>
    <row r="94" spans="1:5" ht="12.95" customHeight="1">
      <c r="A94" s="30">
        <f t="shared" si="8"/>
        <v>185</v>
      </c>
      <c r="B94" s="105">
        <f t="shared" si="7"/>
        <v>6.1947500000000266E-2</v>
      </c>
      <c r="C94" s="25"/>
      <c r="D94" s="47"/>
      <c r="E94" s="48"/>
    </row>
    <row r="95" spans="1:5" ht="12.95" customHeight="1">
      <c r="A95" s="30">
        <f>+A94+5</f>
        <v>190</v>
      </c>
      <c r="B95" s="105">
        <f t="shared" si="7"/>
        <v>4.1210000000000191E-2</v>
      </c>
      <c r="C95" s="25"/>
      <c r="D95" s="47"/>
      <c r="E95" s="48"/>
    </row>
    <row r="96" spans="1:5" ht="12.95" customHeight="1" thickBot="1">
      <c r="A96" s="30">
        <f>+A95+5</f>
        <v>195</v>
      </c>
      <c r="B96" s="105">
        <f t="shared" si="7"/>
        <v>2.1227500000000177E-2</v>
      </c>
      <c r="C96" s="49"/>
      <c r="D96" s="49"/>
      <c r="E96" s="50"/>
    </row>
    <row r="97" spans="1:5" ht="12.95" customHeight="1" thickTop="1" thickBot="1">
      <c r="A97" s="84">
        <f>+A96+5</f>
        <v>200</v>
      </c>
      <c r="B97" s="106">
        <f t="shared" si="7"/>
        <v>2.0000000000004459E-3</v>
      </c>
      <c r="C97" s="49"/>
      <c r="D97" s="49"/>
      <c r="E97" s="50"/>
    </row>
    <row r="98" spans="1:5" ht="12.95" customHeight="1" thickTop="1">
      <c r="A98" s="57"/>
      <c r="B98" s="58"/>
      <c r="C98" s="47"/>
      <c r="D98" s="47"/>
      <c r="E98" s="47"/>
    </row>
    <row r="99" spans="1:5" ht="12.95" customHeight="1" thickBot="1"/>
    <row r="100" spans="1:5" ht="30" customHeight="1" thickTop="1">
      <c r="A100" s="8" t="s">
        <v>12</v>
      </c>
      <c r="B100" s="9">
        <v>11</v>
      </c>
      <c r="C100" s="10" t="s">
        <v>10</v>
      </c>
      <c r="D100" s="11" t="s">
        <v>22</v>
      </c>
      <c r="E100" s="12" t="s">
        <v>23</v>
      </c>
    </row>
    <row r="101" spans="1:5" ht="30" customHeight="1">
      <c r="A101" s="13" t="s">
        <v>7</v>
      </c>
      <c r="B101" s="35" t="s">
        <v>78</v>
      </c>
      <c r="C101" s="60"/>
      <c r="D101" s="2"/>
      <c r="E101" s="61"/>
    </row>
    <row r="102" spans="1:5" ht="30" customHeight="1">
      <c r="A102" s="13" t="s">
        <v>15</v>
      </c>
      <c r="B102" s="1"/>
      <c r="C102" s="60"/>
      <c r="D102" s="2"/>
      <c r="E102" s="61"/>
    </row>
    <row r="103" spans="1:5" ht="30" customHeight="1" thickBot="1">
      <c r="A103" s="13" t="s">
        <v>8</v>
      </c>
      <c r="B103" s="1"/>
      <c r="C103" s="62"/>
      <c r="D103" s="63"/>
      <c r="E103" s="64"/>
    </row>
    <row r="104" spans="1:5" ht="30" customHeight="1">
      <c r="A104" s="13" t="s">
        <v>9</v>
      </c>
      <c r="B104" s="1" t="s">
        <v>86</v>
      </c>
      <c r="C104" s="4" t="s">
        <v>11</v>
      </c>
      <c r="D104" s="6">
        <v>10</v>
      </c>
      <c r="E104" s="65"/>
    </row>
    <row r="105" spans="1:5" ht="30" customHeight="1" thickBot="1">
      <c r="A105" s="14" t="s">
        <v>16</v>
      </c>
      <c r="B105" s="16" t="s">
        <v>17</v>
      </c>
      <c r="C105" s="5" t="s">
        <v>0</v>
      </c>
      <c r="D105" s="7">
        <f>IF(D104&lt;0,"valor del indicador fuera de rango",IF(D104&lt;=100,-0.01*(D104)+1,"valor del indicador fuera rango"))</f>
        <v>0.9</v>
      </c>
      <c r="E105" s="66"/>
    </row>
    <row r="106" spans="1:5" ht="30" customHeight="1">
      <c r="A106" s="15" t="s">
        <v>14</v>
      </c>
      <c r="B106" s="3" t="s">
        <v>0</v>
      </c>
      <c r="C106" s="146" t="s">
        <v>13</v>
      </c>
      <c r="D106" s="144"/>
      <c r="E106" s="145"/>
    </row>
    <row r="107" spans="1:5" ht="12.95" customHeight="1">
      <c r="A107" s="28">
        <v>0</v>
      </c>
      <c r="B107" s="24">
        <f t="shared" ref="B107:B123" si="9">-0.01*A107+1</f>
        <v>1</v>
      </c>
      <c r="C107" s="47"/>
      <c r="D107" s="47"/>
      <c r="E107" s="48"/>
    </row>
    <row r="108" spans="1:5" ht="12.95" customHeight="1">
      <c r="A108" s="29">
        <v>2</v>
      </c>
      <c r="B108" s="24">
        <f t="shared" si="9"/>
        <v>0.98</v>
      </c>
      <c r="C108" s="25"/>
      <c r="D108" s="47"/>
      <c r="E108" s="48"/>
    </row>
    <row r="109" spans="1:5" ht="12.95" customHeight="1">
      <c r="A109" s="29">
        <v>4</v>
      </c>
      <c r="B109" s="24">
        <f t="shared" si="9"/>
        <v>0.96</v>
      </c>
      <c r="C109" s="25"/>
      <c r="D109" s="47"/>
      <c r="E109" s="48"/>
    </row>
    <row r="110" spans="1:5" ht="12.95" customHeight="1">
      <c r="A110" s="29">
        <v>6</v>
      </c>
      <c r="B110" s="24">
        <f t="shared" si="9"/>
        <v>0.94</v>
      </c>
      <c r="C110" s="25"/>
      <c r="D110" s="47"/>
      <c r="E110" s="48"/>
    </row>
    <row r="111" spans="1:5" ht="12.95" customHeight="1">
      <c r="A111" s="29">
        <v>8</v>
      </c>
      <c r="B111" s="24">
        <f t="shared" si="9"/>
        <v>0.92</v>
      </c>
      <c r="C111" s="25"/>
      <c r="D111" s="47"/>
      <c r="E111" s="48"/>
    </row>
    <row r="112" spans="1:5" ht="12.95" customHeight="1">
      <c r="A112" s="29">
        <v>10</v>
      </c>
      <c r="B112" s="24">
        <f t="shared" si="9"/>
        <v>0.9</v>
      </c>
      <c r="C112" s="25"/>
      <c r="D112" s="47"/>
      <c r="E112" s="48"/>
    </row>
    <row r="113" spans="1:5" ht="12.95" customHeight="1">
      <c r="A113" s="29">
        <v>15</v>
      </c>
      <c r="B113" s="24">
        <f t="shared" si="9"/>
        <v>0.85</v>
      </c>
      <c r="C113" s="25"/>
      <c r="D113" s="47"/>
      <c r="E113" s="48"/>
    </row>
    <row r="114" spans="1:5" ht="12.95" customHeight="1">
      <c r="A114" s="29">
        <v>20</v>
      </c>
      <c r="B114" s="24">
        <f t="shared" si="9"/>
        <v>0.8</v>
      </c>
      <c r="C114" s="25"/>
      <c r="D114" s="47"/>
      <c r="E114" s="48"/>
    </row>
    <row r="115" spans="1:5" ht="12.95" customHeight="1">
      <c r="A115" s="29">
        <v>25</v>
      </c>
      <c r="B115" s="24">
        <f t="shared" si="9"/>
        <v>0.75</v>
      </c>
      <c r="C115" s="25"/>
      <c r="D115" s="47"/>
      <c r="E115" s="48"/>
    </row>
    <row r="116" spans="1:5" ht="12.95" customHeight="1">
      <c r="A116" s="29">
        <v>30</v>
      </c>
      <c r="B116" s="24">
        <f t="shared" si="9"/>
        <v>0.7</v>
      </c>
      <c r="C116" s="25"/>
      <c r="D116" s="47"/>
      <c r="E116" s="48"/>
    </row>
    <row r="117" spans="1:5" ht="12.95" customHeight="1">
      <c r="A117" s="29">
        <v>40</v>
      </c>
      <c r="B117" s="24">
        <f t="shared" si="9"/>
        <v>0.6</v>
      </c>
      <c r="C117" s="25"/>
      <c r="D117" s="47"/>
      <c r="E117" s="48"/>
    </row>
    <row r="118" spans="1:5" ht="12.95" customHeight="1">
      <c r="A118" s="29">
        <v>50</v>
      </c>
      <c r="B118" s="24">
        <f t="shared" si="9"/>
        <v>0.5</v>
      </c>
      <c r="C118" s="25"/>
      <c r="D118" s="47"/>
      <c r="E118" s="48"/>
    </row>
    <row r="119" spans="1:5" ht="12.95" customHeight="1">
      <c r="A119" s="29">
        <v>60</v>
      </c>
      <c r="B119" s="24">
        <f t="shared" si="9"/>
        <v>0.4</v>
      </c>
      <c r="C119" s="25"/>
      <c r="D119" s="47"/>
      <c r="E119" s="48"/>
    </row>
    <row r="120" spans="1:5" ht="12.95" customHeight="1">
      <c r="A120" s="29">
        <v>70</v>
      </c>
      <c r="B120" s="24">
        <f t="shared" si="9"/>
        <v>0.29999999999999993</v>
      </c>
      <c r="C120" s="25"/>
      <c r="D120" s="47"/>
      <c r="E120" s="48"/>
    </row>
    <row r="121" spans="1:5" ht="12.95" customHeight="1">
      <c r="A121" s="29">
        <v>80</v>
      </c>
      <c r="B121" s="24">
        <f t="shared" si="9"/>
        <v>0.19999999999999996</v>
      </c>
      <c r="C121" s="25"/>
      <c r="D121" s="47"/>
      <c r="E121" s="48"/>
    </row>
    <row r="122" spans="1:5" ht="12.95" customHeight="1">
      <c r="A122" s="29">
        <v>90</v>
      </c>
      <c r="B122" s="24">
        <f t="shared" si="9"/>
        <v>9.9999999999999978E-2</v>
      </c>
      <c r="C122" s="25"/>
      <c r="D122" s="47"/>
      <c r="E122" s="48"/>
    </row>
    <row r="123" spans="1:5" ht="12.95" customHeight="1" thickBot="1">
      <c r="A123" s="56">
        <v>100</v>
      </c>
      <c r="B123" s="59">
        <f t="shared" si="9"/>
        <v>0</v>
      </c>
      <c r="C123" s="49"/>
      <c r="D123" s="49"/>
      <c r="E123" s="50"/>
    </row>
    <row r="124" spans="1:5" ht="12.95" customHeight="1" thickTop="1"/>
  </sheetData>
  <mergeCells count="4">
    <mergeCell ref="C7:E7"/>
    <mergeCell ref="C38:E38"/>
    <mergeCell ref="C72:E72"/>
    <mergeCell ref="C106:E106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"/>
  <dimension ref="A1:E123"/>
  <sheetViews>
    <sheetView topLeftCell="A100" zoomScale="75" workbookViewId="0">
      <selection activeCell="D130" sqref="D130"/>
    </sheetView>
  </sheetViews>
  <sheetFormatPr baseColWidth="10" defaultRowHeight="12.95" customHeight="1"/>
  <cols>
    <col min="1" max="1" width="25.83203125" style="46" customWidth="1"/>
    <col min="2" max="2" width="40.83203125" style="46" customWidth="1"/>
    <col min="3" max="5" width="22.83203125" style="46" customWidth="1"/>
    <col min="6" max="6" width="9.33203125" style="46" customWidth="1"/>
    <col min="7" max="16384" width="12" style="46"/>
  </cols>
  <sheetData>
    <row r="1" spans="1:5" s="38" customFormat="1" ht="30" customHeight="1" thickTop="1">
      <c r="A1" s="8" t="s">
        <v>12</v>
      </c>
      <c r="B1" s="32">
        <v>12</v>
      </c>
      <c r="C1" s="10" t="s">
        <v>10</v>
      </c>
      <c r="D1" s="33" t="s">
        <v>48</v>
      </c>
      <c r="E1" s="34" t="s">
        <v>44</v>
      </c>
    </row>
    <row r="2" spans="1:5" s="38" customFormat="1" ht="30" customHeight="1">
      <c r="A2" s="13" t="s">
        <v>7</v>
      </c>
      <c r="B2" s="35" t="s">
        <v>176</v>
      </c>
      <c r="C2" s="39"/>
      <c r="D2" s="36" t="s">
        <v>79</v>
      </c>
      <c r="E2" s="40" t="s">
        <v>45</v>
      </c>
    </row>
    <row r="3" spans="1:5" s="38" customFormat="1" ht="30" customHeight="1">
      <c r="A3" s="13" t="s">
        <v>15</v>
      </c>
      <c r="B3" s="35"/>
      <c r="C3" s="39"/>
      <c r="D3" s="36" t="s">
        <v>5</v>
      </c>
      <c r="E3" s="40" t="s">
        <v>46</v>
      </c>
    </row>
    <row r="4" spans="1:5" s="38" customFormat="1" ht="30" customHeight="1" thickBot="1">
      <c r="A4" s="13" t="s">
        <v>8</v>
      </c>
      <c r="B4" s="17" t="s">
        <v>93</v>
      </c>
      <c r="C4" s="41"/>
      <c r="D4" s="42"/>
      <c r="E4" s="43"/>
    </row>
    <row r="5" spans="1:5" s="38" customFormat="1" ht="30" customHeight="1">
      <c r="A5" s="13" t="s">
        <v>9</v>
      </c>
      <c r="B5" s="35" t="s">
        <v>87</v>
      </c>
      <c r="C5" s="4" t="s">
        <v>11</v>
      </c>
      <c r="D5" s="6">
        <v>400</v>
      </c>
      <c r="E5" s="44"/>
    </row>
    <row r="6" spans="1:5" s="38" customFormat="1" ht="30" customHeight="1" thickBot="1">
      <c r="A6" s="14" t="s">
        <v>16</v>
      </c>
      <c r="B6" s="37" t="s">
        <v>17</v>
      </c>
      <c r="C6" s="5" t="s">
        <v>0</v>
      </c>
      <c r="D6" s="7">
        <f>IF(D5&lt;0,"valor del indicador fuera de rango",IF(D5&lt;=400,0.0000023*(D5^2)-(0.00305*D5)+1,IF(D5&lt;=600,(0.00000122*(D5^2))-(0.00187*D5)+0.702, IF(D5&lt;800, 0, "valor del indicador fuera del rango"))))</f>
        <v>0.14800000000000002</v>
      </c>
      <c r="E6" s="45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28">
        <v>0</v>
      </c>
      <c r="B8" s="24">
        <f>((0.0000023*((A8)^2))-(0.00305*(A8))+1)</f>
        <v>1</v>
      </c>
      <c r="C8" s="47"/>
      <c r="D8" s="47"/>
      <c r="E8" s="48"/>
    </row>
    <row r="9" spans="1:5" ht="12.95" customHeight="1">
      <c r="A9" s="29">
        <f>+A8+40</f>
        <v>40</v>
      </c>
      <c r="B9" s="24">
        <f t="shared" ref="B9:B18" si="0">((0.0000023*((A9)^2))-(0.00305*(A9))+1)</f>
        <v>0.88168000000000002</v>
      </c>
      <c r="C9" s="25"/>
      <c r="D9" s="47"/>
      <c r="E9" s="48"/>
    </row>
    <row r="10" spans="1:5" ht="12.95" customHeight="1">
      <c r="A10" s="29">
        <f t="shared" ref="A10:A24" si="1">+A9+40</f>
        <v>80</v>
      </c>
      <c r="B10" s="24">
        <f t="shared" si="0"/>
        <v>0.77071999999999996</v>
      </c>
      <c r="C10" s="25"/>
      <c r="D10" s="47"/>
      <c r="E10" s="48"/>
    </row>
    <row r="11" spans="1:5" ht="12.95" customHeight="1">
      <c r="A11" s="29">
        <f t="shared" si="1"/>
        <v>120</v>
      </c>
      <c r="B11" s="24">
        <f t="shared" si="0"/>
        <v>0.66711999999999994</v>
      </c>
      <c r="C11" s="25"/>
      <c r="D11" s="47"/>
      <c r="E11" s="48"/>
    </row>
    <row r="12" spans="1:5" ht="12.95" customHeight="1">
      <c r="A12" s="29">
        <f t="shared" si="1"/>
        <v>160</v>
      </c>
      <c r="B12" s="24">
        <f t="shared" si="0"/>
        <v>0.57087999999999994</v>
      </c>
      <c r="C12" s="25"/>
      <c r="D12" s="47"/>
      <c r="E12" s="48"/>
    </row>
    <row r="13" spans="1:5" ht="12.95" customHeight="1">
      <c r="A13" s="29">
        <f t="shared" si="1"/>
        <v>200</v>
      </c>
      <c r="B13" s="24">
        <f t="shared" si="0"/>
        <v>0.48199999999999998</v>
      </c>
      <c r="C13" s="25"/>
      <c r="D13" s="47"/>
      <c r="E13" s="48"/>
    </row>
    <row r="14" spans="1:5" ht="12.95" customHeight="1">
      <c r="A14" s="29">
        <f t="shared" si="1"/>
        <v>240</v>
      </c>
      <c r="B14" s="24">
        <f t="shared" si="0"/>
        <v>0.40047999999999995</v>
      </c>
      <c r="C14" s="25"/>
      <c r="D14" s="47"/>
      <c r="E14" s="48"/>
    </row>
    <row r="15" spans="1:5" ht="12.95" customHeight="1">
      <c r="A15" s="29">
        <f t="shared" si="1"/>
        <v>280</v>
      </c>
      <c r="B15" s="24">
        <f t="shared" si="0"/>
        <v>0.32631999999999994</v>
      </c>
      <c r="C15" s="25"/>
      <c r="D15" s="47"/>
      <c r="E15" s="48"/>
    </row>
    <row r="16" spans="1:5" ht="12.95" customHeight="1">
      <c r="A16" s="29">
        <f t="shared" si="1"/>
        <v>320</v>
      </c>
      <c r="B16" s="24">
        <f t="shared" si="0"/>
        <v>0.25951999999999997</v>
      </c>
      <c r="C16" s="25"/>
      <c r="D16" s="47"/>
      <c r="E16" s="48"/>
    </row>
    <row r="17" spans="1:5" ht="12.95" customHeight="1">
      <c r="A17" s="29">
        <f t="shared" si="1"/>
        <v>360</v>
      </c>
      <c r="B17" s="24">
        <f t="shared" si="0"/>
        <v>0.20007999999999992</v>
      </c>
      <c r="C17" s="25"/>
      <c r="D17" s="47"/>
      <c r="E17" s="48"/>
    </row>
    <row r="18" spans="1:5" ht="12.95" customHeight="1">
      <c r="A18" s="29">
        <f t="shared" si="1"/>
        <v>400</v>
      </c>
      <c r="B18" s="24">
        <f t="shared" si="0"/>
        <v>0.14800000000000002</v>
      </c>
      <c r="C18" s="25"/>
      <c r="D18" s="47"/>
      <c r="E18" s="48"/>
    </row>
    <row r="19" spans="1:5" ht="12.95" customHeight="1">
      <c r="A19" s="30">
        <f t="shared" si="1"/>
        <v>440</v>
      </c>
      <c r="B19" s="26">
        <f>(0.00000122*(A19^2))-(0.00187*A19)+0.702</f>
        <v>0.11539199999999994</v>
      </c>
      <c r="C19" s="25"/>
      <c r="D19" s="47"/>
      <c r="E19" s="48"/>
    </row>
    <row r="20" spans="1:5" ht="12.95" customHeight="1">
      <c r="A20" s="30">
        <f t="shared" si="1"/>
        <v>480</v>
      </c>
      <c r="B20" s="26">
        <f>(0.00000122*(A20^2))-(0.00187*A20)+0.702</f>
        <v>8.5488000000000008E-2</v>
      </c>
      <c r="C20" s="25"/>
      <c r="D20" s="47"/>
      <c r="E20" s="48"/>
    </row>
    <row r="21" spans="1:5" ht="12.95" customHeight="1">
      <c r="A21" s="30">
        <f t="shared" si="1"/>
        <v>520</v>
      </c>
      <c r="B21" s="26">
        <f>(0.00000122*(A21^2))-(0.00187*A21)+0.702</f>
        <v>5.9487999999999985E-2</v>
      </c>
      <c r="C21" s="25"/>
      <c r="D21" s="47"/>
      <c r="E21" s="48"/>
    </row>
    <row r="22" spans="1:5" ht="12.95" customHeight="1">
      <c r="A22" s="30">
        <f t="shared" si="1"/>
        <v>560</v>
      </c>
      <c r="B22" s="26">
        <f>(0.00000122*(A22^2))-(0.00187*A22)+0.702</f>
        <v>3.7392000000000092E-2</v>
      </c>
      <c r="C22" s="25"/>
      <c r="D22" s="47"/>
      <c r="E22" s="48"/>
    </row>
    <row r="23" spans="1:5" ht="12.95" customHeight="1">
      <c r="A23" s="30">
        <f t="shared" si="1"/>
        <v>600</v>
      </c>
      <c r="B23" s="26">
        <f>(0.00000122*(A23^2))-(0.00187*A23)+0.702</f>
        <v>1.9200000000000106E-2</v>
      </c>
      <c r="C23" s="25"/>
      <c r="D23" s="47"/>
      <c r="E23" s="48"/>
    </row>
    <row r="24" spans="1:5" ht="12.95" customHeight="1">
      <c r="A24" s="31">
        <f t="shared" si="1"/>
        <v>640</v>
      </c>
      <c r="B24" s="27">
        <v>0</v>
      </c>
      <c r="C24" s="25"/>
      <c r="D24" s="47"/>
      <c r="E24" s="48"/>
    </row>
    <row r="25" spans="1:5" ht="12.95" customHeight="1">
      <c r="A25" s="31">
        <f>+A24+40</f>
        <v>680</v>
      </c>
      <c r="B25" s="27">
        <v>0</v>
      </c>
      <c r="C25" s="25"/>
      <c r="D25" s="47"/>
      <c r="E25" s="48"/>
    </row>
    <row r="26" spans="1:5" ht="12.95" customHeight="1">
      <c r="A26" s="31">
        <f>+A25+40</f>
        <v>720</v>
      </c>
      <c r="B26" s="27">
        <v>0</v>
      </c>
      <c r="C26" s="25"/>
      <c r="D26" s="47"/>
      <c r="E26" s="48"/>
    </row>
    <row r="27" spans="1:5" ht="12.95" customHeight="1">
      <c r="A27" s="31">
        <f>+A26+40</f>
        <v>760</v>
      </c>
      <c r="B27" s="27">
        <v>0</v>
      </c>
      <c r="C27" s="25"/>
      <c r="D27" s="47"/>
      <c r="E27" s="48"/>
    </row>
    <row r="28" spans="1:5" ht="12.95" customHeight="1">
      <c r="A28" s="31">
        <v>780</v>
      </c>
      <c r="B28" s="27">
        <v>0</v>
      </c>
      <c r="C28" s="25"/>
      <c r="D28" s="47"/>
      <c r="E28" s="48"/>
    </row>
    <row r="29" spans="1:5" ht="12.95" customHeight="1" thickBot="1">
      <c r="A29" s="51">
        <v>800</v>
      </c>
      <c r="B29" s="52">
        <v>0</v>
      </c>
      <c r="C29" s="53"/>
      <c r="D29" s="49"/>
      <c r="E29" s="50"/>
    </row>
    <row r="30" spans="1:5" ht="12.95" customHeight="1" thickTop="1"/>
    <row r="31" spans="1:5" ht="12.95" customHeight="1" thickBot="1"/>
    <row r="32" spans="1:5" s="38" customFormat="1" ht="30" customHeight="1" thickTop="1">
      <c r="A32" s="8" t="s">
        <v>12</v>
      </c>
      <c r="B32" s="32">
        <v>13</v>
      </c>
      <c r="C32" s="10" t="s">
        <v>10</v>
      </c>
      <c r="D32" s="33" t="s">
        <v>48</v>
      </c>
      <c r="E32" s="34" t="s">
        <v>44</v>
      </c>
    </row>
    <row r="33" spans="1:5" s="38" customFormat="1" ht="30" customHeight="1">
      <c r="A33" s="13" t="s">
        <v>7</v>
      </c>
      <c r="B33" s="35" t="s">
        <v>177</v>
      </c>
      <c r="C33" s="39"/>
      <c r="D33" s="36" t="s">
        <v>79</v>
      </c>
      <c r="E33" s="40" t="s">
        <v>45</v>
      </c>
    </row>
    <row r="34" spans="1:5" s="38" customFormat="1" ht="30" customHeight="1">
      <c r="A34" s="13" t="s">
        <v>15</v>
      </c>
      <c r="B34" s="54"/>
      <c r="C34" s="39"/>
      <c r="D34" s="36" t="s">
        <v>5</v>
      </c>
      <c r="E34" s="40" t="s">
        <v>46</v>
      </c>
    </row>
    <row r="35" spans="1:5" s="38" customFormat="1" ht="30" customHeight="1" thickBot="1">
      <c r="A35" s="13" t="s">
        <v>8</v>
      </c>
      <c r="B35" s="17" t="s">
        <v>93</v>
      </c>
      <c r="C35" s="41"/>
      <c r="D35" s="42"/>
      <c r="E35" s="43"/>
    </row>
    <row r="36" spans="1:5" s="38" customFormat="1" ht="30" customHeight="1">
      <c r="A36" s="13" t="s">
        <v>9</v>
      </c>
      <c r="B36" s="35" t="s">
        <v>87</v>
      </c>
      <c r="C36" s="4" t="s">
        <v>11</v>
      </c>
      <c r="D36" s="6">
        <v>600</v>
      </c>
      <c r="E36" s="44"/>
    </row>
    <row r="37" spans="1:5" s="38" customFormat="1" ht="30" customHeight="1" thickBot="1">
      <c r="A37" s="14" t="s">
        <v>16</v>
      </c>
      <c r="B37" s="37" t="s">
        <v>17</v>
      </c>
      <c r="C37" s="5" t="s">
        <v>0</v>
      </c>
      <c r="D37" s="7">
        <f>IF(D36&lt;0,"valor del indicador fuera de rango",IF(D36&lt;=400,0.0000023*(D36^2)-(0.00305*D36)+1,IF(D36&lt;=600,(0.00000122*(D36^2))-(0.00187*D36)+0.702, IF(D36&lt;800, 0, "valor del indicador fuera del rango"))))</f>
        <v>1.9200000000000106E-2</v>
      </c>
      <c r="E37" s="45"/>
    </row>
    <row r="38" spans="1:5" ht="30" customHeight="1">
      <c r="A38" s="15" t="s">
        <v>14</v>
      </c>
      <c r="B38" s="3" t="s">
        <v>0</v>
      </c>
      <c r="C38" s="146" t="s">
        <v>13</v>
      </c>
      <c r="D38" s="144"/>
      <c r="E38" s="145"/>
    </row>
    <row r="39" spans="1:5" ht="12.95" customHeight="1">
      <c r="A39" s="28">
        <v>0</v>
      </c>
      <c r="B39" s="24">
        <f>((0.0000023*((A39)^2))-(0.00305*(A39))+1)</f>
        <v>1</v>
      </c>
      <c r="C39" s="47"/>
      <c r="D39" s="47"/>
      <c r="E39" s="48"/>
    </row>
    <row r="40" spans="1:5" ht="12.95" customHeight="1">
      <c r="A40" s="29">
        <f>+A39+40</f>
        <v>40</v>
      </c>
      <c r="B40" s="24">
        <f t="shared" ref="B40:B49" si="2">((0.0000023*((A40)^2))-(0.00305*(A40))+1)</f>
        <v>0.88168000000000002</v>
      </c>
      <c r="C40" s="25"/>
      <c r="D40" s="47"/>
      <c r="E40" s="48"/>
    </row>
    <row r="41" spans="1:5" ht="12.95" customHeight="1">
      <c r="A41" s="29">
        <f t="shared" ref="A41:A54" si="3">+A40+40</f>
        <v>80</v>
      </c>
      <c r="B41" s="24">
        <f t="shared" si="2"/>
        <v>0.77071999999999996</v>
      </c>
      <c r="C41" s="25"/>
      <c r="D41" s="47"/>
      <c r="E41" s="48"/>
    </row>
    <row r="42" spans="1:5" ht="12.95" customHeight="1">
      <c r="A42" s="29">
        <f t="shared" si="3"/>
        <v>120</v>
      </c>
      <c r="B42" s="24">
        <f t="shared" si="2"/>
        <v>0.66711999999999994</v>
      </c>
      <c r="C42" s="25"/>
      <c r="D42" s="47"/>
      <c r="E42" s="48"/>
    </row>
    <row r="43" spans="1:5" ht="12.95" customHeight="1">
      <c r="A43" s="29">
        <f t="shared" si="3"/>
        <v>160</v>
      </c>
      <c r="B43" s="24">
        <f t="shared" si="2"/>
        <v>0.57087999999999994</v>
      </c>
      <c r="C43" s="25"/>
      <c r="D43" s="47"/>
      <c r="E43" s="48"/>
    </row>
    <row r="44" spans="1:5" ht="12.95" customHeight="1">
      <c r="A44" s="29">
        <f t="shared" si="3"/>
        <v>200</v>
      </c>
      <c r="B44" s="24">
        <f t="shared" si="2"/>
        <v>0.48199999999999998</v>
      </c>
      <c r="C44" s="25"/>
      <c r="D44" s="47"/>
      <c r="E44" s="48"/>
    </row>
    <row r="45" spans="1:5" ht="12.95" customHeight="1">
      <c r="A45" s="29">
        <f t="shared" si="3"/>
        <v>240</v>
      </c>
      <c r="B45" s="24">
        <f t="shared" si="2"/>
        <v>0.40047999999999995</v>
      </c>
      <c r="C45" s="25"/>
      <c r="D45" s="47"/>
      <c r="E45" s="48"/>
    </row>
    <row r="46" spans="1:5" ht="12.95" customHeight="1">
      <c r="A46" s="29">
        <f t="shared" si="3"/>
        <v>280</v>
      </c>
      <c r="B46" s="24">
        <f t="shared" si="2"/>
        <v>0.32631999999999994</v>
      </c>
      <c r="C46" s="25"/>
      <c r="D46" s="47"/>
      <c r="E46" s="48"/>
    </row>
    <row r="47" spans="1:5" ht="12.95" customHeight="1">
      <c r="A47" s="29">
        <f t="shared" si="3"/>
        <v>320</v>
      </c>
      <c r="B47" s="24">
        <f t="shared" si="2"/>
        <v>0.25951999999999997</v>
      </c>
      <c r="C47" s="25"/>
      <c r="D47" s="47"/>
      <c r="E47" s="48"/>
    </row>
    <row r="48" spans="1:5" ht="12.95" customHeight="1">
      <c r="A48" s="29">
        <f t="shared" si="3"/>
        <v>360</v>
      </c>
      <c r="B48" s="24">
        <f t="shared" si="2"/>
        <v>0.20007999999999992</v>
      </c>
      <c r="C48" s="25"/>
      <c r="D48" s="47"/>
      <c r="E48" s="48"/>
    </row>
    <row r="49" spans="1:5" ht="12.95" customHeight="1">
      <c r="A49" s="29">
        <f t="shared" si="3"/>
        <v>400</v>
      </c>
      <c r="B49" s="24">
        <f t="shared" si="2"/>
        <v>0.14800000000000002</v>
      </c>
      <c r="C49" s="25"/>
      <c r="D49" s="47"/>
      <c r="E49" s="48"/>
    </row>
    <row r="50" spans="1:5" ht="12.95" customHeight="1">
      <c r="A50" s="30">
        <f t="shared" si="3"/>
        <v>440</v>
      </c>
      <c r="B50" s="26">
        <f>(0.00000122*(A50^2))-(0.00187*A50)+0.702</f>
        <v>0.11539199999999994</v>
      </c>
      <c r="C50" s="25"/>
      <c r="D50" s="47"/>
      <c r="E50" s="48"/>
    </row>
    <row r="51" spans="1:5" ht="12.95" customHeight="1">
      <c r="A51" s="30">
        <f t="shared" si="3"/>
        <v>480</v>
      </c>
      <c r="B51" s="26">
        <f>(0.00000122*(A51^2))-(0.00187*A51)+0.702</f>
        <v>8.5488000000000008E-2</v>
      </c>
      <c r="C51" s="25"/>
      <c r="D51" s="47"/>
      <c r="E51" s="48"/>
    </row>
    <row r="52" spans="1:5" ht="12.95" customHeight="1">
      <c r="A52" s="30">
        <f t="shared" si="3"/>
        <v>520</v>
      </c>
      <c r="B52" s="26">
        <f>(0.00000122*(A52^2))-(0.00187*A52)+0.702</f>
        <v>5.9487999999999985E-2</v>
      </c>
      <c r="C52" s="25"/>
      <c r="D52" s="47"/>
      <c r="E52" s="48"/>
    </row>
    <row r="53" spans="1:5" ht="12.95" customHeight="1">
      <c r="A53" s="30">
        <f t="shared" si="3"/>
        <v>560</v>
      </c>
      <c r="B53" s="26">
        <f>(0.00000122*(A53^2))-(0.00187*A53)+0.702</f>
        <v>3.7392000000000092E-2</v>
      </c>
      <c r="C53" s="25"/>
      <c r="D53" s="47"/>
      <c r="E53" s="48"/>
    </row>
    <row r="54" spans="1:5" ht="12.95" customHeight="1">
      <c r="A54" s="30">
        <f t="shared" si="3"/>
        <v>600</v>
      </c>
      <c r="B54" s="26">
        <f>(0.00000122*(A54^2))-(0.00187*A54)+0.702</f>
        <v>1.9200000000000106E-2</v>
      </c>
      <c r="C54" s="25"/>
      <c r="D54" s="47"/>
      <c r="E54" s="48"/>
    </row>
    <row r="55" spans="1:5" ht="12.95" customHeight="1">
      <c r="A55" s="31">
        <v>640</v>
      </c>
      <c r="B55" s="27">
        <v>0</v>
      </c>
      <c r="C55" s="25"/>
      <c r="D55" s="47"/>
      <c r="E55" s="48"/>
    </row>
    <row r="56" spans="1:5" ht="12.95" customHeight="1">
      <c r="A56" s="31">
        <f>+A55+20</f>
        <v>660</v>
      </c>
      <c r="B56" s="27">
        <v>0</v>
      </c>
      <c r="C56" s="25"/>
      <c r="D56" s="47"/>
      <c r="E56" s="48"/>
    </row>
    <row r="57" spans="1:5" ht="12.95" customHeight="1">
      <c r="A57" s="31">
        <f t="shared" ref="A57:A63" si="4">+A56+20</f>
        <v>680</v>
      </c>
      <c r="B57" s="27">
        <v>0</v>
      </c>
      <c r="C57" s="25"/>
      <c r="D57" s="47"/>
      <c r="E57" s="48"/>
    </row>
    <row r="58" spans="1:5" ht="12.95" customHeight="1">
      <c r="A58" s="31">
        <f t="shared" si="4"/>
        <v>700</v>
      </c>
      <c r="B58" s="27">
        <v>0</v>
      </c>
      <c r="C58" s="25"/>
      <c r="D58" s="47"/>
      <c r="E58" s="48"/>
    </row>
    <row r="59" spans="1:5" ht="12.95" customHeight="1">
      <c r="A59" s="31">
        <f t="shared" si="4"/>
        <v>720</v>
      </c>
      <c r="B59" s="27">
        <v>0</v>
      </c>
      <c r="C59" s="25"/>
      <c r="D59" s="47"/>
      <c r="E59" s="48"/>
    </row>
    <row r="60" spans="1:5" ht="12.95" customHeight="1">
      <c r="A60" s="31">
        <f t="shared" si="4"/>
        <v>740</v>
      </c>
      <c r="B60" s="27">
        <v>0</v>
      </c>
      <c r="C60" s="25"/>
      <c r="D60" s="47"/>
      <c r="E60" s="48"/>
    </row>
    <row r="61" spans="1:5" ht="12.95" customHeight="1">
      <c r="A61" s="31">
        <f t="shared" si="4"/>
        <v>760</v>
      </c>
      <c r="B61" s="27">
        <v>0</v>
      </c>
      <c r="C61" s="25"/>
      <c r="D61" s="47"/>
      <c r="E61" s="48"/>
    </row>
    <row r="62" spans="1:5" ht="12.95" customHeight="1">
      <c r="A62" s="31">
        <f t="shared" si="4"/>
        <v>780</v>
      </c>
      <c r="B62" s="27">
        <v>0</v>
      </c>
      <c r="C62" s="25"/>
      <c r="D62" s="47"/>
      <c r="E62" s="48"/>
    </row>
    <row r="63" spans="1:5" ht="12.95" customHeight="1" thickBot="1">
      <c r="A63" s="51">
        <f t="shared" si="4"/>
        <v>800</v>
      </c>
      <c r="B63" s="52">
        <v>0</v>
      </c>
      <c r="C63" s="53"/>
      <c r="D63" s="53"/>
      <c r="E63" s="55"/>
    </row>
    <row r="64" spans="1:5" ht="12.95" customHeight="1" thickTop="1"/>
    <row r="65" spans="1:5" ht="12.95" customHeight="1" thickBot="1"/>
    <row r="66" spans="1:5" s="38" customFormat="1" ht="30" customHeight="1" thickTop="1">
      <c r="A66" s="8" t="s">
        <v>12</v>
      </c>
      <c r="B66" s="32">
        <v>14</v>
      </c>
      <c r="C66" s="10" t="s">
        <v>10</v>
      </c>
      <c r="D66" s="33" t="s">
        <v>49</v>
      </c>
      <c r="E66" s="34" t="s">
        <v>44</v>
      </c>
    </row>
    <row r="67" spans="1:5" s="38" customFormat="1" ht="30" customHeight="1">
      <c r="A67" s="13" t="s">
        <v>7</v>
      </c>
      <c r="B67" s="35" t="s">
        <v>178</v>
      </c>
      <c r="C67" s="39"/>
      <c r="D67" s="36" t="s">
        <v>80</v>
      </c>
      <c r="E67" s="40" t="s">
        <v>45</v>
      </c>
    </row>
    <row r="68" spans="1:5" s="38" customFormat="1" ht="30" customHeight="1">
      <c r="A68" s="13" t="s">
        <v>15</v>
      </c>
      <c r="B68" s="35"/>
      <c r="C68" s="39"/>
      <c r="D68" s="36" t="s">
        <v>5</v>
      </c>
      <c r="E68" s="40" t="s">
        <v>46</v>
      </c>
    </row>
    <row r="69" spans="1:5" s="38" customFormat="1" ht="30" customHeight="1" thickBot="1">
      <c r="A69" s="13" t="s">
        <v>8</v>
      </c>
      <c r="B69" s="17" t="s">
        <v>93</v>
      </c>
      <c r="C69" s="41"/>
      <c r="D69" s="42"/>
      <c r="E69" s="43"/>
    </row>
    <row r="70" spans="1:5" s="38" customFormat="1" ht="30" customHeight="1">
      <c r="A70" s="13" t="s">
        <v>9</v>
      </c>
      <c r="B70" s="35" t="s">
        <v>87</v>
      </c>
      <c r="C70" s="4" t="s">
        <v>11</v>
      </c>
      <c r="D70" s="6">
        <v>500</v>
      </c>
      <c r="E70" s="44"/>
    </row>
    <row r="71" spans="1:5" s="38" customFormat="1" ht="30" customHeight="1" thickBot="1">
      <c r="A71" s="14" t="s">
        <v>16</v>
      </c>
      <c r="B71" s="37" t="s">
        <v>17</v>
      </c>
      <c r="C71" s="5" t="s">
        <v>0</v>
      </c>
      <c r="D71" s="7">
        <f>IF(D70&lt;0,"valor del indicador fuera de rango",IF(D70&lt;=400,-0.0000023*(D70^2)-(0.00305*D70)+1,IF(D70&lt;=600,(0.00000122*(D70^2))-(0.00187*D70)+1.702, IF(D70&lt;800, 0, "valor del indicador fuera del rango"))))</f>
        <v>1.0720000000000001</v>
      </c>
      <c r="E71" s="45"/>
    </row>
    <row r="72" spans="1:5" ht="30" customHeight="1">
      <c r="A72" s="15" t="s">
        <v>14</v>
      </c>
      <c r="B72" s="3" t="s">
        <v>0</v>
      </c>
      <c r="C72" s="146" t="s">
        <v>13</v>
      </c>
      <c r="D72" s="144"/>
      <c r="E72" s="145"/>
    </row>
    <row r="73" spans="1:5" ht="12.95" customHeight="1">
      <c r="A73" s="28">
        <v>0</v>
      </c>
      <c r="B73" s="24">
        <f>((0.0000023*((A73)^2))-(0.00305*(A73))+1)</f>
        <v>1</v>
      </c>
      <c r="C73" s="47"/>
      <c r="D73" s="47"/>
      <c r="E73" s="48"/>
    </row>
    <row r="74" spans="1:5" ht="12.95" customHeight="1">
      <c r="A74" s="29">
        <f>+A73+40</f>
        <v>40</v>
      </c>
      <c r="B74" s="24">
        <f t="shared" ref="B74:B83" si="5">((0.0000023*((A74)^2))-(0.00305*(A74))+1)</f>
        <v>0.88168000000000002</v>
      </c>
      <c r="C74" s="25"/>
      <c r="D74" s="47"/>
      <c r="E74" s="48"/>
    </row>
    <row r="75" spans="1:5" ht="12.95" customHeight="1">
      <c r="A75" s="29">
        <f t="shared" ref="A75:A88" si="6">+A74+40</f>
        <v>80</v>
      </c>
      <c r="B75" s="24">
        <f t="shared" si="5"/>
        <v>0.77071999999999996</v>
      </c>
      <c r="C75" s="25"/>
      <c r="D75" s="47"/>
      <c r="E75" s="48"/>
    </row>
    <row r="76" spans="1:5" ht="12.95" customHeight="1">
      <c r="A76" s="29">
        <f t="shared" si="6"/>
        <v>120</v>
      </c>
      <c r="B76" s="24">
        <f t="shared" si="5"/>
        <v>0.66711999999999994</v>
      </c>
      <c r="C76" s="25"/>
      <c r="D76" s="47"/>
      <c r="E76" s="48"/>
    </row>
    <row r="77" spans="1:5" ht="12.95" customHeight="1">
      <c r="A77" s="29">
        <f t="shared" si="6"/>
        <v>160</v>
      </c>
      <c r="B77" s="24">
        <f t="shared" si="5"/>
        <v>0.57087999999999994</v>
      </c>
      <c r="C77" s="25"/>
      <c r="D77" s="47"/>
      <c r="E77" s="48"/>
    </row>
    <row r="78" spans="1:5" ht="12.95" customHeight="1">
      <c r="A78" s="29">
        <f t="shared" si="6"/>
        <v>200</v>
      </c>
      <c r="B78" s="24">
        <f t="shared" si="5"/>
        <v>0.48199999999999998</v>
      </c>
      <c r="C78" s="25"/>
      <c r="D78" s="47"/>
      <c r="E78" s="48"/>
    </row>
    <row r="79" spans="1:5" ht="12.95" customHeight="1">
      <c r="A79" s="29">
        <f t="shared" si="6"/>
        <v>240</v>
      </c>
      <c r="B79" s="24">
        <f t="shared" si="5"/>
        <v>0.40047999999999995</v>
      </c>
      <c r="C79" s="25"/>
      <c r="D79" s="47"/>
      <c r="E79" s="48"/>
    </row>
    <row r="80" spans="1:5" ht="12.95" customHeight="1">
      <c r="A80" s="29">
        <f t="shared" si="6"/>
        <v>280</v>
      </c>
      <c r="B80" s="24">
        <f t="shared" si="5"/>
        <v>0.32631999999999994</v>
      </c>
      <c r="C80" s="25"/>
      <c r="D80" s="47"/>
      <c r="E80" s="48"/>
    </row>
    <row r="81" spans="1:5" ht="12.95" customHeight="1">
      <c r="A81" s="29">
        <f t="shared" si="6"/>
        <v>320</v>
      </c>
      <c r="B81" s="24">
        <f t="shared" si="5"/>
        <v>0.25951999999999997</v>
      </c>
      <c r="C81" s="25"/>
      <c r="D81" s="47"/>
      <c r="E81" s="48"/>
    </row>
    <row r="82" spans="1:5" ht="12.95" customHeight="1">
      <c r="A82" s="29">
        <f t="shared" si="6"/>
        <v>360</v>
      </c>
      <c r="B82" s="24">
        <f t="shared" si="5"/>
        <v>0.20007999999999992</v>
      </c>
      <c r="C82" s="25"/>
      <c r="D82" s="47"/>
      <c r="E82" s="48"/>
    </row>
    <row r="83" spans="1:5" ht="12.95" customHeight="1">
      <c r="A83" s="29">
        <f t="shared" si="6"/>
        <v>400</v>
      </c>
      <c r="B83" s="24">
        <f t="shared" si="5"/>
        <v>0.14800000000000002</v>
      </c>
      <c r="C83" s="25"/>
      <c r="D83" s="47"/>
      <c r="E83" s="48"/>
    </row>
    <row r="84" spans="1:5" ht="12.95" customHeight="1">
      <c r="A84" s="30">
        <f t="shared" si="6"/>
        <v>440</v>
      </c>
      <c r="B84" s="26">
        <f>(0.00000122*(A84^2))-(0.00187*A84)+0.702</f>
        <v>0.11539199999999994</v>
      </c>
      <c r="C84" s="25"/>
      <c r="D84" s="47"/>
      <c r="E84" s="48"/>
    </row>
    <row r="85" spans="1:5" ht="12.95" customHeight="1">
      <c r="A85" s="30">
        <f t="shared" si="6"/>
        <v>480</v>
      </c>
      <c r="B85" s="26">
        <f>(0.00000122*(A85^2))-(0.00187*A85)+0.702</f>
        <v>8.5488000000000008E-2</v>
      </c>
      <c r="C85" s="25"/>
      <c r="D85" s="47"/>
      <c r="E85" s="48"/>
    </row>
    <row r="86" spans="1:5" ht="12.95" customHeight="1">
      <c r="A86" s="30">
        <f t="shared" si="6"/>
        <v>520</v>
      </c>
      <c r="B86" s="26">
        <f>(0.00000122*(A86^2))-(0.00187*A86)+0.702</f>
        <v>5.9487999999999985E-2</v>
      </c>
      <c r="C86" s="25"/>
      <c r="D86" s="47"/>
      <c r="E86" s="48"/>
    </row>
    <row r="87" spans="1:5" ht="12.95" customHeight="1">
      <c r="A87" s="30">
        <f t="shared" si="6"/>
        <v>560</v>
      </c>
      <c r="B87" s="26">
        <f>(0.00000122*(A87^2))-(0.00187*A87)+0.702</f>
        <v>3.7392000000000092E-2</v>
      </c>
      <c r="C87" s="25"/>
      <c r="D87" s="47"/>
      <c r="E87" s="48"/>
    </row>
    <row r="88" spans="1:5" ht="12.95" customHeight="1">
      <c r="A88" s="30">
        <f t="shared" si="6"/>
        <v>600</v>
      </c>
      <c r="B88" s="26">
        <f>(0.00000122*(A88^2))-(0.00187*A88)+0.702</f>
        <v>1.9200000000000106E-2</v>
      </c>
      <c r="C88" s="25"/>
      <c r="D88" s="47"/>
      <c r="E88" s="48"/>
    </row>
    <row r="89" spans="1:5" ht="12.95" customHeight="1">
      <c r="A89" s="31">
        <v>640</v>
      </c>
      <c r="B89" s="27">
        <v>0</v>
      </c>
      <c r="C89" s="25"/>
      <c r="D89" s="47"/>
      <c r="E89" s="48"/>
    </row>
    <row r="90" spans="1:5" ht="12.95" customHeight="1">
      <c r="A90" s="31">
        <f>+A89+20</f>
        <v>660</v>
      </c>
      <c r="B90" s="27">
        <v>0</v>
      </c>
      <c r="C90" s="25"/>
      <c r="D90" s="47"/>
      <c r="E90" s="48"/>
    </row>
    <row r="91" spans="1:5" ht="12.95" customHeight="1">
      <c r="A91" s="31">
        <f>+A90+20</f>
        <v>680</v>
      </c>
      <c r="B91" s="27">
        <v>0</v>
      </c>
      <c r="C91" s="25"/>
      <c r="D91" s="47"/>
      <c r="E91" s="48"/>
    </row>
    <row r="92" spans="1:5" ht="12.95" customHeight="1">
      <c r="A92" s="31">
        <f>+A91+20</f>
        <v>700</v>
      </c>
      <c r="B92" s="27">
        <v>0</v>
      </c>
      <c r="C92" s="25"/>
      <c r="D92" s="47"/>
      <c r="E92" s="48"/>
    </row>
    <row r="93" spans="1:5" ht="12.95" customHeight="1">
      <c r="A93" s="31">
        <f>+A92+20</f>
        <v>720</v>
      </c>
      <c r="B93" s="27">
        <v>0</v>
      </c>
      <c r="C93" s="25"/>
      <c r="D93" s="47"/>
      <c r="E93" s="48"/>
    </row>
    <row r="94" spans="1:5" ht="12.95" customHeight="1">
      <c r="A94" s="31">
        <v>740</v>
      </c>
      <c r="B94" s="27">
        <v>0</v>
      </c>
      <c r="C94" s="25"/>
      <c r="D94" s="47"/>
      <c r="E94" s="48"/>
    </row>
    <row r="95" spans="1:5" ht="12.95" customHeight="1">
      <c r="A95" s="31">
        <f>+A94+20</f>
        <v>760</v>
      </c>
      <c r="B95" s="27">
        <v>0</v>
      </c>
      <c r="C95" s="25"/>
      <c r="D95" s="47"/>
      <c r="E95" s="48"/>
    </row>
    <row r="96" spans="1:5" ht="12.95" customHeight="1" thickBot="1">
      <c r="A96" s="51">
        <v>800</v>
      </c>
      <c r="B96" s="52">
        <v>0</v>
      </c>
      <c r="C96" s="53"/>
      <c r="D96" s="53"/>
      <c r="E96" s="55"/>
    </row>
    <row r="97" spans="1:5" ht="12.95" customHeight="1" thickTop="1">
      <c r="A97" s="57"/>
      <c r="B97" s="58"/>
    </row>
    <row r="98" spans="1:5" ht="12.95" customHeight="1" thickBot="1"/>
    <row r="99" spans="1:5" s="38" customFormat="1" ht="30" customHeight="1" thickTop="1">
      <c r="A99" s="8" t="s">
        <v>12</v>
      </c>
      <c r="B99" s="32">
        <v>15</v>
      </c>
      <c r="C99" s="10" t="s">
        <v>10</v>
      </c>
      <c r="D99" s="33" t="s">
        <v>43</v>
      </c>
      <c r="E99" s="34" t="s">
        <v>23</v>
      </c>
    </row>
    <row r="100" spans="1:5" s="38" customFormat="1" ht="30" customHeight="1">
      <c r="A100" s="13" t="s">
        <v>7</v>
      </c>
      <c r="B100" s="35" t="s">
        <v>81</v>
      </c>
      <c r="C100" s="39"/>
      <c r="D100" s="36"/>
      <c r="E100" s="40"/>
    </row>
    <row r="101" spans="1:5" s="38" customFormat="1" ht="30" customHeight="1">
      <c r="A101" s="13" t="s">
        <v>15</v>
      </c>
      <c r="B101" s="35"/>
      <c r="C101" s="39"/>
      <c r="D101" s="36"/>
      <c r="E101" s="40"/>
    </row>
    <row r="102" spans="1:5" s="38" customFormat="1" ht="30" customHeight="1" thickBot="1">
      <c r="A102" s="13" t="s">
        <v>8</v>
      </c>
      <c r="B102" s="35" t="s">
        <v>47</v>
      </c>
      <c r="C102" s="41"/>
      <c r="D102" s="42"/>
      <c r="E102" s="43"/>
    </row>
    <row r="103" spans="1:5" s="38" customFormat="1" ht="30" customHeight="1">
      <c r="A103" s="13" t="s">
        <v>9</v>
      </c>
      <c r="B103" s="35" t="s">
        <v>86</v>
      </c>
      <c r="C103" s="4" t="s">
        <v>11</v>
      </c>
      <c r="D103" s="6">
        <v>5</v>
      </c>
      <c r="E103" s="44"/>
    </row>
    <row r="104" spans="1:5" s="38" customFormat="1" ht="30" customHeight="1" thickBot="1">
      <c r="A104" s="14" t="s">
        <v>16</v>
      </c>
      <c r="B104" s="37" t="s">
        <v>17</v>
      </c>
      <c r="C104" s="5" t="s">
        <v>0</v>
      </c>
      <c r="D104" s="7">
        <f>IF(D103&lt;0,"valor del indicador fuera de rango",IF(D103&lt;=100,-0.01*(D103)+1,"valor del indicador fuera rango"))</f>
        <v>0.95</v>
      </c>
      <c r="E104" s="45"/>
    </row>
    <row r="105" spans="1:5" ht="30" customHeight="1">
      <c r="A105" s="15" t="s">
        <v>14</v>
      </c>
      <c r="B105" s="3" t="s">
        <v>0</v>
      </c>
      <c r="C105" s="146" t="s">
        <v>13</v>
      </c>
      <c r="D105" s="144"/>
      <c r="E105" s="145"/>
    </row>
    <row r="106" spans="1:5" ht="12.95" customHeight="1">
      <c r="A106" s="28">
        <v>0</v>
      </c>
      <c r="B106" s="24">
        <f>(-0.01*A106)+1</f>
        <v>1</v>
      </c>
      <c r="C106" s="47"/>
      <c r="D106" s="47"/>
      <c r="E106" s="48"/>
    </row>
    <row r="107" spans="1:5" ht="12.95" customHeight="1">
      <c r="A107" s="29">
        <v>5</v>
      </c>
      <c r="B107" s="24">
        <f t="shared" ref="B107:B122" si="7">(-0.01*A107)+1</f>
        <v>0.95</v>
      </c>
      <c r="C107" s="25"/>
      <c r="D107" s="47"/>
      <c r="E107" s="48"/>
    </row>
    <row r="108" spans="1:5" ht="12.95" customHeight="1">
      <c r="A108" s="29">
        <v>10</v>
      </c>
      <c r="B108" s="24">
        <f t="shared" si="7"/>
        <v>0.9</v>
      </c>
      <c r="C108" s="25"/>
      <c r="D108" s="47"/>
      <c r="E108" s="48"/>
    </row>
    <row r="109" spans="1:5" ht="12.95" customHeight="1">
      <c r="A109" s="28">
        <v>15</v>
      </c>
      <c r="B109" s="24">
        <f t="shared" si="7"/>
        <v>0.85</v>
      </c>
      <c r="C109" s="25"/>
      <c r="D109" s="47"/>
      <c r="E109" s="48"/>
    </row>
    <row r="110" spans="1:5" ht="12.95" customHeight="1">
      <c r="A110" s="29">
        <v>20</v>
      </c>
      <c r="B110" s="24">
        <f t="shared" si="7"/>
        <v>0.8</v>
      </c>
      <c r="C110" s="25"/>
      <c r="D110" s="47"/>
      <c r="E110" s="48"/>
    </row>
    <row r="111" spans="1:5" ht="12.95" customHeight="1">
      <c r="A111" s="29">
        <v>25</v>
      </c>
      <c r="B111" s="24">
        <f t="shared" si="7"/>
        <v>0.75</v>
      </c>
      <c r="C111" s="25"/>
      <c r="D111" s="47"/>
      <c r="E111" s="48"/>
    </row>
    <row r="112" spans="1:5" ht="12.95" customHeight="1">
      <c r="A112" s="28">
        <v>30</v>
      </c>
      <c r="B112" s="24">
        <f t="shared" si="7"/>
        <v>0.7</v>
      </c>
      <c r="C112" s="25"/>
      <c r="D112" s="47"/>
      <c r="E112" s="48"/>
    </row>
    <row r="113" spans="1:5" ht="12.95" customHeight="1">
      <c r="A113" s="29">
        <v>35</v>
      </c>
      <c r="B113" s="24">
        <f t="shared" si="7"/>
        <v>0.64999999999999991</v>
      </c>
      <c r="C113" s="25"/>
      <c r="D113" s="47"/>
      <c r="E113" s="48"/>
    </row>
    <row r="114" spans="1:5" ht="12.95" customHeight="1">
      <c r="A114" s="29">
        <v>40</v>
      </c>
      <c r="B114" s="24">
        <f t="shared" si="7"/>
        <v>0.6</v>
      </c>
      <c r="C114" s="25"/>
      <c r="D114" s="47"/>
      <c r="E114" s="48"/>
    </row>
    <row r="115" spans="1:5" ht="12.95" customHeight="1">
      <c r="A115" s="28">
        <v>45</v>
      </c>
      <c r="B115" s="24">
        <f t="shared" si="7"/>
        <v>0.55000000000000004</v>
      </c>
      <c r="C115" s="25"/>
      <c r="D115" s="47"/>
      <c r="E115" s="48"/>
    </row>
    <row r="116" spans="1:5" ht="12.95" customHeight="1">
      <c r="A116" s="29">
        <v>50</v>
      </c>
      <c r="B116" s="24">
        <f t="shared" si="7"/>
        <v>0.5</v>
      </c>
      <c r="C116" s="25"/>
      <c r="D116" s="47"/>
      <c r="E116" s="48"/>
    </row>
    <row r="117" spans="1:5" ht="12.95" customHeight="1">
      <c r="A117" s="29">
        <v>55</v>
      </c>
      <c r="B117" s="24">
        <f t="shared" si="7"/>
        <v>0.44999999999999996</v>
      </c>
      <c r="C117" s="25"/>
      <c r="D117" s="47"/>
      <c r="E117" s="48"/>
    </row>
    <row r="118" spans="1:5" ht="12.95" customHeight="1">
      <c r="A118" s="28">
        <v>60</v>
      </c>
      <c r="B118" s="24">
        <f t="shared" si="7"/>
        <v>0.4</v>
      </c>
      <c r="C118" s="25"/>
      <c r="D118" s="47"/>
      <c r="E118" s="48"/>
    </row>
    <row r="119" spans="1:5" ht="12.95" customHeight="1">
      <c r="A119" s="29">
        <v>70</v>
      </c>
      <c r="B119" s="24">
        <f t="shared" si="7"/>
        <v>0.29999999999999993</v>
      </c>
      <c r="C119" s="25"/>
      <c r="D119" s="47"/>
      <c r="E119" s="48"/>
    </row>
    <row r="120" spans="1:5" ht="12.95" customHeight="1">
      <c r="A120" s="29">
        <v>80</v>
      </c>
      <c r="B120" s="24">
        <f t="shared" si="7"/>
        <v>0.19999999999999996</v>
      </c>
      <c r="C120" s="25"/>
      <c r="D120" s="47"/>
      <c r="E120" s="48"/>
    </row>
    <row r="121" spans="1:5" ht="12.95" customHeight="1">
      <c r="A121" s="28">
        <v>90</v>
      </c>
      <c r="B121" s="24">
        <f t="shared" si="7"/>
        <v>9.9999999999999978E-2</v>
      </c>
      <c r="C121" s="25"/>
      <c r="D121" s="47"/>
      <c r="E121" s="48"/>
    </row>
    <row r="122" spans="1:5" ht="12.95" customHeight="1" thickBot="1">
      <c r="A122" s="56">
        <v>100</v>
      </c>
      <c r="B122" s="59">
        <f t="shared" si="7"/>
        <v>0</v>
      </c>
      <c r="C122" s="53"/>
      <c r="D122" s="49"/>
      <c r="E122" s="50"/>
    </row>
    <row r="123" spans="1:5" ht="12.95" customHeight="1" thickTop="1"/>
  </sheetData>
  <mergeCells count="4">
    <mergeCell ref="C105:E105"/>
    <mergeCell ref="C7:E7"/>
    <mergeCell ref="C38:E38"/>
    <mergeCell ref="C72:E7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/>
  <dimension ref="A1:E26"/>
  <sheetViews>
    <sheetView zoomScale="75" workbookViewId="0">
      <selection sqref="A1:IV65536"/>
    </sheetView>
  </sheetViews>
  <sheetFormatPr baseColWidth="10" defaultRowHeight="12.95" customHeight="1"/>
  <cols>
    <col min="1" max="1" width="24.83203125" style="46" customWidth="1"/>
    <col min="2" max="2" width="40.83203125" style="46" customWidth="1"/>
    <col min="3" max="5" width="22.83203125" style="46" customWidth="1"/>
    <col min="6" max="6" width="9.33203125" style="46" customWidth="1"/>
    <col min="7" max="16384" width="12" style="46"/>
  </cols>
  <sheetData>
    <row r="1" spans="1:5" ht="30" customHeight="1" thickTop="1">
      <c r="A1" s="8" t="s">
        <v>12</v>
      </c>
      <c r="B1" s="91">
        <v>16</v>
      </c>
      <c r="C1" s="10" t="s">
        <v>10</v>
      </c>
      <c r="D1" s="92" t="s">
        <v>77</v>
      </c>
      <c r="E1" s="93" t="s">
        <v>50</v>
      </c>
    </row>
    <row r="2" spans="1:5" ht="30" customHeight="1">
      <c r="A2" s="13" t="s">
        <v>7</v>
      </c>
      <c r="B2" s="19" t="s">
        <v>179</v>
      </c>
      <c r="C2" s="21"/>
      <c r="D2" s="18" t="s">
        <v>75</v>
      </c>
      <c r="E2" s="94" t="s">
        <v>55</v>
      </c>
    </row>
    <row r="3" spans="1:5" ht="30" customHeight="1">
      <c r="A3" s="13" t="s">
        <v>15</v>
      </c>
      <c r="B3" s="19"/>
      <c r="C3" s="21"/>
      <c r="D3" s="18" t="s">
        <v>76</v>
      </c>
      <c r="E3" s="94" t="s">
        <v>64</v>
      </c>
    </row>
    <row r="4" spans="1:5" ht="30" customHeight="1" thickBot="1">
      <c r="A4" s="13" t="s">
        <v>8</v>
      </c>
      <c r="B4" s="19" t="s">
        <v>73</v>
      </c>
      <c r="C4" s="22"/>
      <c r="D4" s="23"/>
      <c r="E4" s="95"/>
    </row>
    <row r="5" spans="1:5" ht="30" customHeight="1">
      <c r="A5" s="13" t="s">
        <v>9</v>
      </c>
      <c r="B5" s="19" t="s">
        <v>82</v>
      </c>
      <c r="C5" s="4" t="s">
        <v>11</v>
      </c>
      <c r="D5" s="6">
        <v>0.2</v>
      </c>
      <c r="E5" s="120"/>
    </row>
    <row r="6" spans="1:5" ht="30" customHeight="1" thickBot="1">
      <c r="A6" s="14" t="s">
        <v>16</v>
      </c>
      <c r="B6" s="20" t="s">
        <v>17</v>
      </c>
      <c r="C6" s="5" t="s">
        <v>0</v>
      </c>
      <c r="D6" s="7">
        <f>IF(D5&lt;0,"valor del indicador fuera de rango",IF(D5&lt;=0.2,-11*(D5^2)+(0.2*D5)+1,IF(D5&lt;=0.34,(27*(D5^2))-(18.1*D5)+3.15,IF(D5&lt;0.4,0.1,"valor del indicador fuera rango"))))</f>
        <v>0.6</v>
      </c>
      <c r="E6" s="121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96">
        <v>0</v>
      </c>
      <c r="B8" s="24">
        <f>(-11*A8^2)+(0.2*A8)+1</f>
        <v>1</v>
      </c>
      <c r="C8" s="47"/>
      <c r="D8" s="47"/>
      <c r="E8" s="48"/>
    </row>
    <row r="9" spans="1:5" ht="12.95" customHeight="1">
      <c r="A9" s="97">
        <f>+A8+0.05</f>
        <v>0.05</v>
      </c>
      <c r="B9" s="24">
        <f>(-11*A9^2)+(0.2*A9)+1</f>
        <v>0.98250000000000004</v>
      </c>
      <c r="C9" s="25"/>
      <c r="D9" s="47"/>
      <c r="E9" s="48"/>
    </row>
    <row r="10" spans="1:5" ht="12.95" customHeight="1">
      <c r="A10" s="97">
        <f>+A9+0.05</f>
        <v>0.1</v>
      </c>
      <c r="B10" s="24">
        <f>(-11*A10^2)+(0.2*A10)+1</f>
        <v>0.91</v>
      </c>
      <c r="C10" s="25"/>
      <c r="D10" s="47"/>
      <c r="E10" s="48"/>
    </row>
    <row r="11" spans="1:5" ht="12.95" customHeight="1">
      <c r="A11" s="97">
        <f>+A10+0.05</f>
        <v>0.15000000000000002</v>
      </c>
      <c r="B11" s="24">
        <f>(-11*A11^2)+(0.2*A11)+1</f>
        <v>0.78249999999999997</v>
      </c>
      <c r="C11" s="25"/>
      <c r="D11" s="47"/>
      <c r="E11" s="48"/>
    </row>
    <row r="12" spans="1:5" ht="12.95" customHeight="1">
      <c r="A12" s="97">
        <f>+A11+0.05</f>
        <v>0.2</v>
      </c>
      <c r="B12" s="24">
        <f>(-11*A12^2)+(0.2*A12)+1</f>
        <v>0.6</v>
      </c>
      <c r="C12" s="25"/>
      <c r="D12" s="47"/>
      <c r="E12" s="48"/>
    </row>
    <row r="13" spans="1:5" ht="12.95" customHeight="1">
      <c r="A13" s="98">
        <f>+A12+0.025</f>
        <v>0.22500000000000001</v>
      </c>
      <c r="B13" s="26">
        <f>(27*A13^2)-(18.1*A13)+3.15</f>
        <v>0.44437499999999952</v>
      </c>
      <c r="C13" s="25"/>
      <c r="D13" s="47"/>
      <c r="E13" s="48"/>
    </row>
    <row r="14" spans="1:5" ht="12.95" customHeight="1">
      <c r="A14" s="98">
        <f>+A13+0.025</f>
        <v>0.25</v>
      </c>
      <c r="B14" s="26">
        <f>(27*A14^2)-(18.1*A14)+3.15</f>
        <v>0.31249999999999956</v>
      </c>
      <c r="C14" s="25"/>
      <c r="D14" s="47"/>
      <c r="E14" s="48"/>
    </row>
    <row r="15" spans="1:5" ht="12.95" customHeight="1">
      <c r="A15" s="98">
        <f>+A14+0.025</f>
        <v>0.27500000000000002</v>
      </c>
      <c r="B15" s="26">
        <f>(27*A15^2)-(18.1*A15)+3.15</f>
        <v>0.21437499999999909</v>
      </c>
      <c r="C15" s="25"/>
      <c r="D15" s="47"/>
      <c r="E15" s="48"/>
    </row>
    <row r="16" spans="1:5" ht="12.95" customHeight="1">
      <c r="A16" s="98">
        <f>+A15+0.025</f>
        <v>0.30000000000000004</v>
      </c>
      <c r="B16" s="26">
        <f>(27*A16^2)-(18.1*A16)+3.15</f>
        <v>0.14999999999999902</v>
      </c>
      <c r="C16" s="25"/>
      <c r="D16" s="47"/>
      <c r="E16" s="48"/>
    </row>
    <row r="17" spans="1:5" ht="12.95" customHeight="1">
      <c r="A17" s="99">
        <v>0.33</v>
      </c>
      <c r="B17" s="26">
        <f>(27*A17^2)-(18.1*A17)+3.15</f>
        <v>0.11729999999999929</v>
      </c>
      <c r="C17" s="25"/>
      <c r="D17" s="47"/>
      <c r="E17" s="48"/>
    </row>
    <row r="18" spans="1:5" ht="12.95" customHeight="1">
      <c r="A18" s="100">
        <v>0.34</v>
      </c>
      <c r="B18" s="27">
        <v>0.1</v>
      </c>
      <c r="C18" s="25"/>
      <c r="D18" s="47"/>
      <c r="E18" s="48"/>
    </row>
    <row r="19" spans="1:5" ht="12.95" customHeight="1">
      <c r="A19" s="101">
        <v>0.35</v>
      </c>
      <c r="B19" s="27">
        <v>0.1</v>
      </c>
      <c r="C19" s="25"/>
      <c r="D19" s="47"/>
      <c r="E19" s="48"/>
    </row>
    <row r="20" spans="1:5" ht="12.95" customHeight="1">
      <c r="A20" s="100">
        <v>0.36</v>
      </c>
      <c r="B20" s="27">
        <v>0.1</v>
      </c>
      <c r="C20" s="25"/>
      <c r="D20" s="47"/>
      <c r="E20" s="48"/>
    </row>
    <row r="21" spans="1:5" ht="12.95" customHeight="1">
      <c r="A21" s="101">
        <v>0.37</v>
      </c>
      <c r="B21" s="27">
        <v>0.1</v>
      </c>
      <c r="C21" s="25"/>
      <c r="D21" s="47"/>
      <c r="E21" s="48"/>
    </row>
    <row r="22" spans="1:5" ht="12.95" customHeight="1">
      <c r="A22" s="100">
        <v>0.38</v>
      </c>
      <c r="B22" s="27">
        <v>0.1</v>
      </c>
      <c r="C22" s="25"/>
      <c r="D22" s="47"/>
      <c r="E22" s="48"/>
    </row>
    <row r="23" spans="1:5" ht="12.95" customHeight="1">
      <c r="A23" s="101">
        <v>0.39</v>
      </c>
      <c r="B23" s="27">
        <v>0.1</v>
      </c>
      <c r="C23" s="25"/>
      <c r="D23" s="47"/>
      <c r="E23" s="48"/>
    </row>
    <row r="24" spans="1:5" ht="12.95" customHeight="1" thickBot="1">
      <c r="A24" s="102">
        <v>0.4</v>
      </c>
      <c r="B24" s="52">
        <v>0.1</v>
      </c>
      <c r="C24" s="53"/>
      <c r="D24" s="49"/>
      <c r="E24" s="50"/>
    </row>
    <row r="25" spans="1:5" ht="12.95" customHeight="1" thickTop="1">
      <c r="B25" s="47"/>
      <c r="C25" s="47"/>
      <c r="D25" s="47"/>
      <c r="E25" s="47"/>
    </row>
    <row r="26" spans="1:5" ht="12.95" customHeight="1">
      <c r="B26" s="47"/>
      <c r="C26" s="47"/>
      <c r="D26" s="47"/>
      <c r="E26" s="47"/>
    </row>
  </sheetData>
  <mergeCells count="1">
    <mergeCell ref="C7:E7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203"/>
  <sheetViews>
    <sheetView topLeftCell="A157" zoomScale="75" workbookViewId="0">
      <selection activeCell="C215" sqref="C215"/>
    </sheetView>
  </sheetViews>
  <sheetFormatPr baseColWidth="10" defaultRowHeight="12.95" customHeight="1"/>
  <cols>
    <col min="1" max="1" width="25.83203125" style="46" customWidth="1"/>
    <col min="2" max="2" width="40.83203125" style="46" customWidth="1"/>
    <col min="3" max="5" width="22.83203125" style="46" customWidth="1"/>
    <col min="6" max="7" width="9.33203125" style="46" customWidth="1"/>
    <col min="8" max="16384" width="12" style="46"/>
  </cols>
  <sheetData>
    <row r="1" spans="1:5" ht="30" customHeight="1" thickTop="1">
      <c r="A1" s="8" t="s">
        <v>12</v>
      </c>
      <c r="B1" s="91">
        <v>17</v>
      </c>
      <c r="C1" s="10" t="s">
        <v>10</v>
      </c>
      <c r="D1" s="92" t="s">
        <v>51</v>
      </c>
      <c r="E1" s="93" t="s">
        <v>52</v>
      </c>
    </row>
    <row r="2" spans="1:5" ht="30" customHeight="1">
      <c r="A2" s="13" t="s">
        <v>7</v>
      </c>
      <c r="B2" s="19" t="s">
        <v>180</v>
      </c>
      <c r="C2" s="21"/>
      <c r="D2" s="18" t="s">
        <v>56</v>
      </c>
      <c r="E2" s="94" t="s">
        <v>57</v>
      </c>
    </row>
    <row r="3" spans="1:5" ht="30" customHeight="1">
      <c r="A3" s="13" t="s">
        <v>15</v>
      </c>
      <c r="B3" s="19"/>
      <c r="C3" s="21"/>
      <c r="D3" s="18" t="s">
        <v>65</v>
      </c>
      <c r="E3" s="94" t="s">
        <v>66</v>
      </c>
    </row>
    <row r="4" spans="1:5" ht="30" customHeight="1" thickBot="1">
      <c r="A4" s="13" t="s">
        <v>8</v>
      </c>
      <c r="B4" s="19" t="s">
        <v>74</v>
      </c>
      <c r="C4" s="22"/>
      <c r="D4" s="23"/>
      <c r="E4" s="95"/>
    </row>
    <row r="5" spans="1:5" ht="30" customHeight="1">
      <c r="A5" s="13" t="s">
        <v>9</v>
      </c>
      <c r="B5" s="19" t="s">
        <v>83</v>
      </c>
      <c r="C5" s="4" t="s">
        <v>11</v>
      </c>
      <c r="D5" s="6">
        <v>52</v>
      </c>
      <c r="E5" s="120"/>
    </row>
    <row r="6" spans="1:5" ht="30" customHeight="1" thickBot="1">
      <c r="A6" s="14" t="s">
        <v>16</v>
      </c>
      <c r="B6" s="20" t="s">
        <v>17</v>
      </c>
      <c r="C6" s="5" t="s">
        <v>0</v>
      </c>
      <c r="D6" s="7">
        <f>IF(D5&lt;0,"valor fuera de rango",IF(D5&lt;=30,1,IF(D5&lt;=45,-0.00222*(D5^2)+(0.133*D5)-1, IF(D5&lt;=56, 0.00222*(D5^2)-(0.267*D5)+8,"valor fuera de rango"))))</f>
        <v>0.11887999999999987</v>
      </c>
      <c r="E6" s="121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28">
        <v>0</v>
      </c>
      <c r="B8" s="24">
        <v>1</v>
      </c>
      <c r="C8" s="47"/>
      <c r="D8" s="47"/>
      <c r="E8" s="48"/>
    </row>
    <row r="9" spans="1:5" ht="12.95" customHeight="1">
      <c r="A9" s="29">
        <v>10</v>
      </c>
      <c r="B9" s="24">
        <v>1</v>
      </c>
      <c r="C9" s="25"/>
      <c r="D9" s="47"/>
      <c r="E9" s="48"/>
    </row>
    <row r="10" spans="1:5" ht="12.95" customHeight="1">
      <c r="A10" s="29">
        <v>20</v>
      </c>
      <c r="B10" s="24">
        <v>1</v>
      </c>
      <c r="C10" s="25"/>
      <c r="D10" s="47"/>
      <c r="E10" s="48"/>
    </row>
    <row r="11" spans="1:5" ht="12.95" customHeight="1">
      <c r="A11" s="28">
        <v>30</v>
      </c>
      <c r="B11" s="24">
        <v>1</v>
      </c>
      <c r="C11" s="25"/>
      <c r="D11" s="47"/>
      <c r="E11" s="48"/>
    </row>
    <row r="12" spans="1:5" ht="12.95" customHeight="1">
      <c r="A12" s="28">
        <v>30</v>
      </c>
      <c r="B12" s="24">
        <f t="shared" ref="B12:B20" si="0">(-0.00222*A12^2)+(0.133*A12)-1</f>
        <v>0.99199999999999999</v>
      </c>
      <c r="C12" s="25"/>
      <c r="D12" s="47"/>
      <c r="E12" s="48"/>
    </row>
    <row r="13" spans="1:5" ht="12.95" customHeight="1">
      <c r="A13" s="30">
        <v>31</v>
      </c>
      <c r="B13" s="26">
        <f t="shared" si="0"/>
        <v>0.98958000000000013</v>
      </c>
      <c r="C13" s="25"/>
      <c r="D13" s="47"/>
      <c r="E13" s="48"/>
    </row>
    <row r="14" spans="1:5" ht="12.95" customHeight="1">
      <c r="A14" s="30">
        <v>33</v>
      </c>
      <c r="B14" s="26">
        <f t="shared" si="0"/>
        <v>0.97142000000000017</v>
      </c>
      <c r="C14" s="25"/>
      <c r="D14" s="47"/>
      <c r="E14" s="48"/>
    </row>
    <row r="15" spans="1:5" ht="12.95" customHeight="1">
      <c r="A15" s="67">
        <v>35</v>
      </c>
      <c r="B15" s="26">
        <f t="shared" si="0"/>
        <v>0.93550000000000022</v>
      </c>
      <c r="C15" s="25"/>
      <c r="D15" s="47"/>
      <c r="E15" s="48"/>
    </row>
    <row r="16" spans="1:5" ht="12.95" customHeight="1">
      <c r="A16" s="30">
        <v>39</v>
      </c>
      <c r="B16" s="26">
        <f t="shared" si="0"/>
        <v>0.81037999999999988</v>
      </c>
      <c r="C16" s="25"/>
      <c r="D16" s="47"/>
      <c r="E16" s="48"/>
    </row>
    <row r="17" spans="1:5" ht="12.95" customHeight="1">
      <c r="A17" s="30">
        <v>41</v>
      </c>
      <c r="B17" s="26">
        <f t="shared" si="0"/>
        <v>0.72117999999999993</v>
      </c>
      <c r="C17" s="25"/>
      <c r="D17" s="47"/>
      <c r="E17" s="48"/>
    </row>
    <row r="18" spans="1:5" ht="12.95" customHeight="1">
      <c r="A18" s="67">
        <v>43</v>
      </c>
      <c r="B18" s="26">
        <f t="shared" si="0"/>
        <v>0.61421999999999954</v>
      </c>
      <c r="C18" s="25"/>
      <c r="D18" s="47"/>
      <c r="E18" s="48"/>
    </row>
    <row r="19" spans="1:5" ht="12.95" customHeight="1">
      <c r="A19" s="30">
        <v>44</v>
      </c>
      <c r="B19" s="26">
        <f t="shared" si="0"/>
        <v>0.55407999999999991</v>
      </c>
      <c r="C19" s="25"/>
      <c r="D19" s="47"/>
      <c r="E19" s="48"/>
    </row>
    <row r="20" spans="1:5" ht="12.95" customHeight="1">
      <c r="A20" s="30">
        <v>45</v>
      </c>
      <c r="B20" s="26">
        <f t="shared" si="0"/>
        <v>0.4894999999999996</v>
      </c>
      <c r="C20" s="25"/>
      <c r="D20" s="47"/>
      <c r="E20" s="48"/>
    </row>
    <row r="21" spans="1:5" ht="12.95" customHeight="1">
      <c r="A21" s="31">
        <v>46</v>
      </c>
      <c r="B21" s="27">
        <f t="shared" ref="B21:B27" si="1">(0.00222*A21^2)-(0.267*A21)+8</f>
        <v>0.41552000000000078</v>
      </c>
      <c r="C21" s="25"/>
      <c r="D21" s="47"/>
      <c r="E21" s="48"/>
    </row>
    <row r="22" spans="1:5" ht="12.95" customHeight="1">
      <c r="A22" s="103">
        <v>48</v>
      </c>
      <c r="B22" s="27">
        <f t="shared" si="1"/>
        <v>0.29887999999999959</v>
      </c>
      <c r="C22" s="25"/>
      <c r="D22" s="47"/>
      <c r="E22" s="48"/>
    </row>
    <row r="23" spans="1:5" ht="12.95" customHeight="1">
      <c r="A23" s="31">
        <v>50</v>
      </c>
      <c r="B23" s="27">
        <f t="shared" si="1"/>
        <v>0.19999999999999929</v>
      </c>
      <c r="C23" s="25"/>
      <c r="D23" s="47"/>
      <c r="E23" s="48"/>
    </row>
    <row r="24" spans="1:5" ht="12.95" customHeight="1">
      <c r="A24" s="31">
        <v>52</v>
      </c>
      <c r="B24" s="27">
        <f t="shared" si="1"/>
        <v>0.11887999999999987</v>
      </c>
      <c r="C24" s="25"/>
      <c r="D24" s="47"/>
      <c r="E24" s="48"/>
    </row>
    <row r="25" spans="1:5" ht="12.95" customHeight="1">
      <c r="A25" s="103">
        <v>53</v>
      </c>
      <c r="B25" s="27">
        <f t="shared" si="1"/>
        <v>8.4979999999998945E-2</v>
      </c>
      <c r="C25" s="25"/>
      <c r="D25" s="47"/>
      <c r="E25" s="48"/>
    </row>
    <row r="26" spans="1:5" ht="12.95" customHeight="1" thickBot="1">
      <c r="A26" s="31">
        <v>54</v>
      </c>
      <c r="B26" s="86">
        <f t="shared" si="1"/>
        <v>5.551999999999957E-2</v>
      </c>
      <c r="C26" s="53"/>
      <c r="D26" s="49"/>
      <c r="E26" s="50"/>
    </row>
    <row r="27" spans="1:5" ht="12.95" customHeight="1" thickTop="1" thickBot="1">
      <c r="A27" s="51">
        <v>56</v>
      </c>
      <c r="B27" s="107">
        <f t="shared" si="1"/>
        <v>9.9199999999992627E-3</v>
      </c>
      <c r="C27" s="49"/>
      <c r="D27" s="49"/>
      <c r="E27" s="50"/>
    </row>
    <row r="28" spans="1:5" ht="12.95" customHeight="1" thickTop="1" thickBot="1"/>
    <row r="29" spans="1:5" ht="30" customHeight="1" thickTop="1">
      <c r="A29" s="8" t="s">
        <v>12</v>
      </c>
      <c r="B29" s="91">
        <v>18</v>
      </c>
      <c r="C29" s="10" t="s">
        <v>10</v>
      </c>
      <c r="D29" s="92" t="s">
        <v>51</v>
      </c>
      <c r="E29" s="93" t="s">
        <v>53</v>
      </c>
    </row>
    <row r="30" spans="1:5" ht="30" customHeight="1">
      <c r="A30" s="13" t="s">
        <v>7</v>
      </c>
      <c r="B30" s="19" t="s">
        <v>181</v>
      </c>
      <c r="C30" s="21"/>
      <c r="D30" s="18" t="s">
        <v>58</v>
      </c>
      <c r="E30" s="94" t="s">
        <v>59</v>
      </c>
    </row>
    <row r="31" spans="1:5" ht="30" customHeight="1">
      <c r="A31" s="13" t="s">
        <v>15</v>
      </c>
      <c r="B31" s="19"/>
      <c r="C31" s="21"/>
      <c r="D31" s="18" t="s">
        <v>67</v>
      </c>
      <c r="E31" s="94" t="s">
        <v>68</v>
      </c>
    </row>
    <row r="32" spans="1:5" ht="30" customHeight="1" thickBot="1">
      <c r="A32" s="13" t="s">
        <v>8</v>
      </c>
      <c r="B32" s="19" t="s">
        <v>74</v>
      </c>
      <c r="C32" s="22"/>
      <c r="D32" s="23"/>
      <c r="E32" s="95"/>
    </row>
    <row r="33" spans="1:5" ht="30" customHeight="1">
      <c r="A33" s="13" t="s">
        <v>9</v>
      </c>
      <c r="B33" s="19" t="s">
        <v>84</v>
      </c>
      <c r="C33" s="4" t="s">
        <v>11</v>
      </c>
      <c r="D33" s="6">
        <v>65</v>
      </c>
      <c r="E33" s="120"/>
    </row>
    <row r="34" spans="1:5" ht="30" customHeight="1" thickBot="1">
      <c r="A34" s="14" t="s">
        <v>16</v>
      </c>
      <c r="B34" s="20" t="s">
        <v>17</v>
      </c>
      <c r="C34" s="5" t="s">
        <v>0</v>
      </c>
      <c r="D34" s="7">
        <f>IF(D33&lt;0,"valor del indicador fuera de rango",IF(D33&lt;=35,1,IF(D33&lt;=52.5,-0.00163*(D33^2)+(0.114*D33)-1,IF(D33&lt;=65,0.00163*(D33^2)-(0.229*D33)+8,"valor del indicador fuera rango"))))</f>
        <v>1.7500000000003624E-3</v>
      </c>
      <c r="E34" s="121"/>
    </row>
    <row r="35" spans="1:5" ht="30" customHeight="1">
      <c r="A35" s="15" t="s">
        <v>14</v>
      </c>
      <c r="B35" s="3" t="s">
        <v>0</v>
      </c>
      <c r="C35" s="146" t="s">
        <v>13</v>
      </c>
      <c r="D35" s="144"/>
      <c r="E35" s="145"/>
    </row>
    <row r="36" spans="1:5" ht="12.95" customHeight="1">
      <c r="A36" s="28">
        <v>0</v>
      </c>
      <c r="B36" s="24">
        <v>1</v>
      </c>
      <c r="C36" s="47"/>
      <c r="D36" s="47"/>
      <c r="E36" s="48"/>
    </row>
    <row r="37" spans="1:5" ht="12.95" customHeight="1">
      <c r="A37" s="29">
        <v>10</v>
      </c>
      <c r="B37" s="24">
        <v>1</v>
      </c>
      <c r="C37" s="25"/>
      <c r="D37" s="47"/>
      <c r="E37" s="48"/>
    </row>
    <row r="38" spans="1:5" ht="12.95" customHeight="1">
      <c r="A38" s="28">
        <v>20</v>
      </c>
      <c r="B38" s="24">
        <v>1</v>
      </c>
      <c r="C38" s="25"/>
      <c r="D38" s="47"/>
      <c r="E38" s="48"/>
    </row>
    <row r="39" spans="1:5" ht="12.95" customHeight="1">
      <c r="A39" s="29">
        <v>30</v>
      </c>
      <c r="B39" s="24">
        <v>1</v>
      </c>
      <c r="C39" s="25"/>
      <c r="D39" s="47"/>
      <c r="E39" s="48"/>
    </row>
    <row r="40" spans="1:5" ht="12.95" customHeight="1">
      <c r="A40" s="28">
        <v>35</v>
      </c>
      <c r="B40" s="24">
        <v>1</v>
      </c>
      <c r="C40" s="25"/>
      <c r="D40" s="47"/>
      <c r="E40" s="48"/>
    </row>
    <row r="41" spans="1:5" ht="12.95" customHeight="1">
      <c r="A41" s="30">
        <v>35</v>
      </c>
      <c r="B41" s="26">
        <f t="shared" ref="B41:B48" si="2">(-0.00163*A41^2)+(0.114*A41)-1</f>
        <v>0.99325000000000019</v>
      </c>
      <c r="C41" s="25"/>
      <c r="D41" s="47"/>
      <c r="E41" s="48"/>
    </row>
    <row r="42" spans="1:5" ht="12.95" customHeight="1">
      <c r="A42" s="30">
        <v>37</v>
      </c>
      <c r="B42" s="26">
        <f t="shared" si="2"/>
        <v>0.98653000000000013</v>
      </c>
      <c r="C42" s="25"/>
      <c r="D42" s="47"/>
      <c r="E42" s="48"/>
    </row>
    <row r="43" spans="1:5" ht="12.95" customHeight="1">
      <c r="A43" s="30">
        <v>40</v>
      </c>
      <c r="B43" s="26">
        <f t="shared" si="2"/>
        <v>0.9520000000000004</v>
      </c>
      <c r="C43" s="25"/>
      <c r="D43" s="47"/>
      <c r="E43" s="48"/>
    </row>
    <row r="44" spans="1:5" ht="12.95" customHeight="1">
      <c r="A44" s="30">
        <v>43</v>
      </c>
      <c r="B44" s="26">
        <f t="shared" si="2"/>
        <v>0.88813000000000031</v>
      </c>
      <c r="C44" s="25"/>
      <c r="D44" s="47"/>
      <c r="E44" s="48"/>
    </row>
    <row r="45" spans="1:5" ht="12.95" customHeight="1">
      <c r="A45" s="30">
        <v>45</v>
      </c>
      <c r="B45" s="26">
        <f t="shared" si="2"/>
        <v>0.82925000000000004</v>
      </c>
      <c r="C45" s="25"/>
      <c r="D45" s="47"/>
      <c r="E45" s="48"/>
    </row>
    <row r="46" spans="1:5" ht="12.95" customHeight="1">
      <c r="A46" s="30">
        <v>48</v>
      </c>
      <c r="B46" s="26">
        <f t="shared" si="2"/>
        <v>0.71648000000000067</v>
      </c>
      <c r="C46" s="25"/>
      <c r="D46" s="47"/>
      <c r="E46" s="48"/>
    </row>
    <row r="47" spans="1:5" ht="12.95" customHeight="1">
      <c r="A47" s="30">
        <v>50</v>
      </c>
      <c r="B47" s="26">
        <f t="shared" si="2"/>
        <v>0.625</v>
      </c>
      <c r="C47" s="25"/>
      <c r="D47" s="47"/>
      <c r="E47" s="48"/>
    </row>
    <row r="48" spans="1:5" ht="12.95" customHeight="1">
      <c r="A48" s="30">
        <v>52</v>
      </c>
      <c r="B48" s="26">
        <f t="shared" si="2"/>
        <v>0.52048000000000005</v>
      </c>
      <c r="C48" s="25"/>
      <c r="D48" s="47"/>
      <c r="E48" s="48"/>
    </row>
    <row r="49" spans="1:5" ht="12.95" customHeight="1">
      <c r="A49" s="31">
        <v>53</v>
      </c>
      <c r="B49" s="27">
        <f t="shared" ref="B49:B55" si="3">(0.00163*A49^2)-(0.229*A49)+8</f>
        <v>0.44166999999999934</v>
      </c>
      <c r="C49" s="25"/>
      <c r="D49" s="47"/>
      <c r="E49" s="48"/>
    </row>
    <row r="50" spans="1:5" ht="12.95" customHeight="1">
      <c r="A50" s="31">
        <v>57</v>
      </c>
      <c r="B50" s="27">
        <f t="shared" si="3"/>
        <v>0.24286999999999903</v>
      </c>
      <c r="C50" s="25"/>
      <c r="D50" s="47"/>
      <c r="E50" s="48"/>
    </row>
    <row r="51" spans="1:5" ht="12.95" customHeight="1">
      <c r="A51" s="31">
        <v>59</v>
      </c>
      <c r="B51" s="27">
        <f t="shared" si="3"/>
        <v>0.16302999999999912</v>
      </c>
      <c r="C51" s="25"/>
      <c r="D51" s="47"/>
      <c r="E51" s="48"/>
    </row>
    <row r="52" spans="1:5" ht="12.95" customHeight="1">
      <c r="A52" s="31">
        <v>61</v>
      </c>
      <c r="B52" s="27">
        <f t="shared" si="3"/>
        <v>9.6229999999998483E-2</v>
      </c>
      <c r="C52" s="25"/>
      <c r="D52" s="47"/>
      <c r="E52" s="48"/>
    </row>
    <row r="53" spans="1:5" ht="12.95" customHeight="1">
      <c r="A53" s="31">
        <v>63</v>
      </c>
      <c r="B53" s="27">
        <f t="shared" si="3"/>
        <v>4.2469999999998009E-2</v>
      </c>
      <c r="C53" s="25"/>
      <c r="D53" s="47"/>
      <c r="E53" s="48"/>
    </row>
    <row r="54" spans="1:5" ht="12.95" customHeight="1">
      <c r="A54" s="122">
        <v>64</v>
      </c>
      <c r="B54" s="27">
        <f t="shared" si="3"/>
        <v>2.0479999999999166E-2</v>
      </c>
      <c r="C54" s="25"/>
      <c r="D54" s="47"/>
      <c r="E54" s="48"/>
    </row>
    <row r="55" spans="1:5" ht="12.95" customHeight="1" thickBot="1">
      <c r="A55" s="51">
        <v>65</v>
      </c>
      <c r="B55" s="52">
        <f t="shared" si="3"/>
        <v>1.7500000000003624E-3</v>
      </c>
      <c r="C55" s="53"/>
      <c r="D55" s="49"/>
      <c r="E55" s="50"/>
    </row>
    <row r="56" spans="1:5" ht="12.95" customHeight="1" thickTop="1">
      <c r="C56" s="25"/>
      <c r="D56" s="47"/>
      <c r="E56" s="47"/>
    </row>
    <row r="57" spans="1:5" ht="12.95" customHeight="1" thickBot="1"/>
    <row r="58" spans="1:5" ht="30" customHeight="1" thickTop="1">
      <c r="A58" s="8" t="s">
        <v>12</v>
      </c>
      <c r="B58" s="91">
        <v>19</v>
      </c>
      <c r="C58" s="10" t="s">
        <v>10</v>
      </c>
      <c r="D58" s="92" t="s">
        <v>51</v>
      </c>
      <c r="E58" s="93" t="s">
        <v>52</v>
      </c>
    </row>
    <row r="59" spans="1:5" ht="30" customHeight="1">
      <c r="A59" s="13" t="s">
        <v>7</v>
      </c>
      <c r="B59" s="19" t="s">
        <v>182</v>
      </c>
      <c r="C59" s="21"/>
      <c r="D59" s="18" t="s">
        <v>60</v>
      </c>
      <c r="E59" s="94" t="s">
        <v>61</v>
      </c>
    </row>
    <row r="60" spans="1:5" ht="30" customHeight="1">
      <c r="A60" s="13" t="s">
        <v>15</v>
      </c>
      <c r="B60" s="19"/>
      <c r="C60" s="21"/>
      <c r="D60" s="18" t="s">
        <v>69</v>
      </c>
      <c r="E60" s="94" t="s">
        <v>70</v>
      </c>
    </row>
    <row r="61" spans="1:5" ht="30" customHeight="1" thickBot="1">
      <c r="A61" s="13" t="s">
        <v>8</v>
      </c>
      <c r="B61" s="19" t="s">
        <v>74</v>
      </c>
      <c r="C61" s="22"/>
      <c r="D61" s="23"/>
      <c r="E61" s="95"/>
    </row>
    <row r="62" spans="1:5" ht="30" customHeight="1">
      <c r="A62" s="13" t="s">
        <v>9</v>
      </c>
      <c r="B62" s="19" t="s">
        <v>85</v>
      </c>
      <c r="C62" s="4" t="s">
        <v>11</v>
      </c>
      <c r="D62" s="6">
        <v>60</v>
      </c>
      <c r="E62" s="120"/>
    </row>
    <row r="63" spans="1:5" ht="30" customHeight="1" thickBot="1">
      <c r="A63" s="14" t="s">
        <v>16</v>
      </c>
      <c r="B63" s="20" t="s">
        <v>17</v>
      </c>
      <c r="C63" s="5" t="s">
        <v>0</v>
      </c>
      <c r="D63" s="7">
        <f>IF(D62&lt;0,"valor del indicador fuera de rango",IF(D62&lt;=30,1,IF(D62&lt;=55,-0.0008*(D62^2)+(0.048*D62)+0.28,IF(D62&lt;80, 0.0008*(D62^2)-(0.128*D62)+5.12,"valor del indicador fuera rango"))))</f>
        <v>0.32000000000000117</v>
      </c>
      <c r="E63" s="121"/>
    </row>
    <row r="64" spans="1:5" ht="30" customHeight="1">
      <c r="A64" s="15" t="s">
        <v>14</v>
      </c>
      <c r="B64" s="3" t="s">
        <v>0</v>
      </c>
      <c r="C64" s="146" t="s">
        <v>13</v>
      </c>
      <c r="D64" s="144"/>
      <c r="E64" s="145"/>
    </row>
    <row r="65" spans="1:5" ht="12.95" customHeight="1">
      <c r="A65" s="28">
        <v>0</v>
      </c>
      <c r="B65" s="24">
        <v>1</v>
      </c>
      <c r="C65" s="47"/>
      <c r="D65" s="47"/>
      <c r="E65" s="48"/>
    </row>
    <row r="66" spans="1:5" ht="12.95" customHeight="1">
      <c r="A66" s="29">
        <v>10</v>
      </c>
      <c r="B66" s="24">
        <v>1</v>
      </c>
      <c r="C66" s="25"/>
      <c r="D66" s="47"/>
      <c r="E66" s="48"/>
    </row>
    <row r="67" spans="1:5" ht="12.95" customHeight="1">
      <c r="A67" s="29">
        <v>20</v>
      </c>
      <c r="B67" s="24">
        <v>1</v>
      </c>
      <c r="C67" s="25"/>
      <c r="D67" s="47"/>
      <c r="E67" s="48"/>
    </row>
    <row r="68" spans="1:5" ht="12.95" customHeight="1">
      <c r="A68" s="28">
        <v>30</v>
      </c>
      <c r="B68" s="24">
        <v>1</v>
      </c>
      <c r="C68" s="25"/>
      <c r="D68" s="47"/>
      <c r="E68" s="48"/>
    </row>
    <row r="69" spans="1:5" ht="12.95" customHeight="1">
      <c r="A69" s="30">
        <v>30</v>
      </c>
      <c r="B69" s="26">
        <f t="shared" ref="B69:B79" si="4">(-0.0008*A69^2)+(0.048*A69)+0.28</f>
        <v>0.99999999999999989</v>
      </c>
      <c r="C69" s="25"/>
      <c r="D69" s="47"/>
      <c r="E69" s="48"/>
    </row>
    <row r="70" spans="1:5" ht="12.95" customHeight="1">
      <c r="A70" s="30">
        <v>32</v>
      </c>
      <c r="B70" s="26">
        <f t="shared" si="4"/>
        <v>0.99680000000000002</v>
      </c>
      <c r="C70" s="25"/>
      <c r="D70" s="47"/>
      <c r="E70" s="48"/>
    </row>
    <row r="71" spans="1:5" ht="12.95" customHeight="1">
      <c r="A71" s="67">
        <v>34</v>
      </c>
      <c r="B71" s="26">
        <f t="shared" si="4"/>
        <v>0.98720000000000008</v>
      </c>
      <c r="C71" s="25"/>
      <c r="D71" s="47"/>
      <c r="E71" s="48"/>
    </row>
    <row r="72" spans="1:5" ht="12.95" customHeight="1">
      <c r="A72" s="30">
        <v>36</v>
      </c>
      <c r="B72" s="26">
        <f t="shared" si="4"/>
        <v>0.97120000000000006</v>
      </c>
      <c r="C72" s="25"/>
      <c r="D72" s="47"/>
      <c r="E72" s="48"/>
    </row>
    <row r="73" spans="1:5" ht="12.95" customHeight="1">
      <c r="A73" s="30">
        <v>38</v>
      </c>
      <c r="B73" s="26">
        <f t="shared" si="4"/>
        <v>0.94880000000000009</v>
      </c>
      <c r="C73" s="25"/>
      <c r="D73" s="47"/>
      <c r="E73" s="48"/>
    </row>
    <row r="74" spans="1:5" ht="12.95" customHeight="1">
      <c r="A74" s="67">
        <v>40</v>
      </c>
      <c r="B74" s="26">
        <f t="shared" si="4"/>
        <v>0.91999999999999993</v>
      </c>
      <c r="C74" s="25"/>
      <c r="D74" s="47"/>
      <c r="E74" s="48"/>
    </row>
    <row r="75" spans="1:5" ht="12.95" customHeight="1">
      <c r="A75" s="30">
        <v>42</v>
      </c>
      <c r="B75" s="26">
        <f t="shared" si="4"/>
        <v>0.88480000000000003</v>
      </c>
      <c r="C75" s="25"/>
      <c r="D75" s="47"/>
      <c r="E75" s="48"/>
    </row>
    <row r="76" spans="1:5" ht="12.95" customHeight="1">
      <c r="A76" s="30">
        <v>44</v>
      </c>
      <c r="B76" s="26">
        <f t="shared" si="4"/>
        <v>0.84319999999999995</v>
      </c>
      <c r="C76" s="25"/>
      <c r="D76" s="47"/>
      <c r="E76" s="48"/>
    </row>
    <row r="77" spans="1:5" ht="12.95" customHeight="1">
      <c r="A77" s="67">
        <v>46</v>
      </c>
      <c r="B77" s="26">
        <f t="shared" si="4"/>
        <v>0.79520000000000013</v>
      </c>
      <c r="C77" s="25"/>
      <c r="D77" s="47"/>
      <c r="E77" s="48"/>
    </row>
    <row r="78" spans="1:5" ht="12.95" customHeight="1">
      <c r="A78" s="30">
        <v>48</v>
      </c>
      <c r="B78" s="26">
        <f t="shared" si="4"/>
        <v>0.74080000000000013</v>
      </c>
      <c r="C78" s="25"/>
      <c r="D78" s="47"/>
      <c r="E78" s="48"/>
    </row>
    <row r="79" spans="1:5" ht="12.95" customHeight="1">
      <c r="A79" s="30">
        <v>50</v>
      </c>
      <c r="B79" s="26">
        <f t="shared" si="4"/>
        <v>0.67999999999999994</v>
      </c>
      <c r="C79" s="25"/>
      <c r="D79" s="47"/>
      <c r="E79" s="48"/>
    </row>
    <row r="80" spans="1:5" ht="12.95" customHeight="1">
      <c r="A80" s="103">
        <v>55</v>
      </c>
      <c r="B80" s="27">
        <f>(0.0008*A80^2)-(0.128*A80)+5.12</f>
        <v>0.5</v>
      </c>
      <c r="C80" s="25"/>
      <c r="D80" s="47"/>
      <c r="E80" s="48"/>
    </row>
    <row r="81" spans="1:5" ht="12.95" customHeight="1">
      <c r="A81" s="31">
        <v>60</v>
      </c>
      <c r="B81" s="27">
        <f>(0.0008*A81^2)-(0.128*A81)+5.12</f>
        <v>0.32000000000000117</v>
      </c>
      <c r="C81" s="25"/>
      <c r="D81" s="47"/>
      <c r="E81" s="48"/>
    </row>
    <row r="82" spans="1:5" ht="12.95" customHeight="1">
      <c r="A82" s="31">
        <v>65</v>
      </c>
      <c r="B82" s="27">
        <f>(0.0008*A82^2)-(0.128*A82)+5.12</f>
        <v>0.1800000000000006</v>
      </c>
      <c r="C82" s="25"/>
      <c r="D82" s="47"/>
      <c r="E82" s="48"/>
    </row>
    <row r="83" spans="1:5" ht="12.95" customHeight="1">
      <c r="A83" s="103">
        <v>70</v>
      </c>
      <c r="B83" s="27">
        <f>(0.0008*A83^2)-(0.128*A83)+5.12</f>
        <v>7.9999999999999183E-2</v>
      </c>
      <c r="C83" s="25"/>
      <c r="D83" s="47"/>
      <c r="E83" s="48"/>
    </row>
    <row r="84" spans="1:5" ht="12.95" customHeight="1" thickBot="1">
      <c r="A84" s="51">
        <v>80</v>
      </c>
      <c r="B84" s="52">
        <f>(0.0008*A84^2)-(0.128*A84)+5.12</f>
        <v>0</v>
      </c>
      <c r="C84" s="53"/>
      <c r="D84" s="49"/>
      <c r="E84" s="50"/>
    </row>
    <row r="85" spans="1:5" ht="12.95" customHeight="1" thickTop="1"/>
    <row r="86" spans="1:5" ht="12.95" customHeight="1" thickBot="1"/>
    <row r="87" spans="1:5" ht="30" customHeight="1" thickTop="1">
      <c r="A87" s="8" t="s">
        <v>12</v>
      </c>
      <c r="B87" s="91">
        <v>20</v>
      </c>
      <c r="C87" s="10" t="s">
        <v>10</v>
      </c>
      <c r="D87" s="92" t="s">
        <v>51</v>
      </c>
      <c r="E87" s="93" t="s">
        <v>54</v>
      </c>
    </row>
    <row r="88" spans="1:5" ht="30" customHeight="1">
      <c r="A88" s="13" t="s">
        <v>7</v>
      </c>
      <c r="B88" s="19" t="s">
        <v>183</v>
      </c>
      <c r="C88" s="21"/>
      <c r="D88" s="18" t="s">
        <v>62</v>
      </c>
      <c r="E88" s="94" t="s">
        <v>63</v>
      </c>
    </row>
    <row r="89" spans="1:5" ht="30" customHeight="1">
      <c r="A89" s="13" t="s">
        <v>15</v>
      </c>
      <c r="B89" s="19"/>
      <c r="C89" s="21"/>
      <c r="D89" s="18" t="s">
        <v>71</v>
      </c>
      <c r="E89" s="94" t="s">
        <v>72</v>
      </c>
    </row>
    <row r="90" spans="1:5" ht="30" customHeight="1" thickBot="1">
      <c r="A90" s="13" t="s">
        <v>8</v>
      </c>
      <c r="B90" s="19" t="s">
        <v>74</v>
      </c>
      <c r="C90" s="22"/>
      <c r="D90" s="23"/>
      <c r="E90" s="95"/>
    </row>
    <row r="91" spans="1:5" ht="30" customHeight="1">
      <c r="A91" s="13" t="s">
        <v>9</v>
      </c>
      <c r="B91" s="19" t="s">
        <v>85</v>
      </c>
      <c r="C91" s="4" t="s">
        <v>11</v>
      </c>
      <c r="D91" s="6">
        <v>50</v>
      </c>
      <c r="E91" s="120"/>
    </row>
    <row r="92" spans="1:5" ht="30" customHeight="1" thickBot="1">
      <c r="A92" s="14" t="s">
        <v>16</v>
      </c>
      <c r="B92" s="20" t="s">
        <v>17</v>
      </c>
      <c r="C92" s="5" t="s">
        <v>0</v>
      </c>
      <c r="D92" s="7">
        <f>IF(D91&lt;0,"valor del indicador fuera de rango",IF(D91&lt;=40,1,IF(D91&lt;=60,-0.00125*(D91^2)+(0.1*D91)-1,IF(D91&lt;80,0.00125*(D91^2)-(0.2*D91)+8,"valor del indicador fuera rango"))))</f>
        <v>0.875</v>
      </c>
      <c r="E92" s="121"/>
    </row>
    <row r="93" spans="1:5" ht="30" customHeight="1">
      <c r="A93" s="15" t="s">
        <v>14</v>
      </c>
      <c r="B93" s="3" t="s">
        <v>0</v>
      </c>
      <c r="C93" s="146" t="s">
        <v>13</v>
      </c>
      <c r="D93" s="144"/>
      <c r="E93" s="145"/>
    </row>
    <row r="94" spans="1:5" ht="12.95" customHeight="1">
      <c r="A94" s="113">
        <v>0</v>
      </c>
      <c r="B94" s="24">
        <v>1</v>
      </c>
      <c r="C94" s="47"/>
      <c r="D94" s="47"/>
      <c r="E94" s="48"/>
    </row>
    <row r="95" spans="1:5" ht="12.95" customHeight="1">
      <c r="A95" s="114">
        <v>10</v>
      </c>
      <c r="B95" s="24">
        <v>1</v>
      </c>
      <c r="C95" s="25"/>
      <c r="D95" s="47"/>
      <c r="E95" s="48"/>
    </row>
    <row r="96" spans="1:5" ht="12.95" customHeight="1">
      <c r="A96" s="114">
        <v>20</v>
      </c>
      <c r="B96" s="24">
        <v>1</v>
      </c>
      <c r="C96" s="25"/>
      <c r="D96" s="47"/>
      <c r="E96" s="48"/>
    </row>
    <row r="97" spans="1:5" ht="12.95" customHeight="1">
      <c r="A97" s="113">
        <v>30</v>
      </c>
      <c r="B97" s="24">
        <v>1</v>
      </c>
      <c r="C97" s="25"/>
      <c r="D97" s="47"/>
      <c r="E97" s="48"/>
    </row>
    <row r="98" spans="1:5" ht="12.95" customHeight="1">
      <c r="A98" s="114">
        <v>40</v>
      </c>
      <c r="B98" s="24">
        <v>1</v>
      </c>
      <c r="C98" s="25"/>
      <c r="D98" s="47"/>
      <c r="E98" s="48"/>
    </row>
    <row r="99" spans="1:5" ht="12.95" customHeight="1">
      <c r="A99" s="115">
        <v>42</v>
      </c>
      <c r="B99" s="26">
        <f t="shared" ref="B99:B105" si="5">(-0.00125*A99^2)+(0.1*A99)-1</f>
        <v>0.99500000000000011</v>
      </c>
      <c r="C99" s="25"/>
      <c r="D99" s="47"/>
      <c r="E99" s="48"/>
    </row>
    <row r="100" spans="1:5" ht="12.95" customHeight="1">
      <c r="A100" s="116">
        <v>45</v>
      </c>
      <c r="B100" s="26">
        <f t="shared" si="5"/>
        <v>0.96875</v>
      </c>
      <c r="C100" s="25"/>
      <c r="D100" s="47"/>
      <c r="E100" s="48"/>
    </row>
    <row r="101" spans="1:5" ht="12.95" customHeight="1">
      <c r="A101" s="115">
        <v>48</v>
      </c>
      <c r="B101" s="26">
        <f t="shared" si="5"/>
        <v>0.92000000000000082</v>
      </c>
      <c r="C101" s="25"/>
      <c r="D101" s="47"/>
      <c r="E101" s="48"/>
    </row>
    <row r="102" spans="1:5" ht="12.95" customHeight="1">
      <c r="A102" s="115">
        <v>50</v>
      </c>
      <c r="B102" s="26">
        <f t="shared" si="5"/>
        <v>0.875</v>
      </c>
      <c r="C102" s="25"/>
      <c r="D102" s="47"/>
      <c r="E102" s="48"/>
    </row>
    <row r="103" spans="1:5" ht="12.95" customHeight="1">
      <c r="A103" s="116">
        <v>52</v>
      </c>
      <c r="B103" s="26">
        <f t="shared" si="5"/>
        <v>0.82000000000000028</v>
      </c>
      <c r="C103" s="25"/>
      <c r="D103" s="47"/>
      <c r="E103" s="48"/>
    </row>
    <row r="104" spans="1:5" ht="12.95" customHeight="1">
      <c r="A104" s="115">
        <v>55</v>
      </c>
      <c r="B104" s="26">
        <f t="shared" si="5"/>
        <v>0.71875</v>
      </c>
      <c r="C104" s="25"/>
      <c r="D104" s="47"/>
      <c r="E104" s="48"/>
    </row>
    <row r="105" spans="1:5" ht="12.95" customHeight="1">
      <c r="A105" s="115">
        <v>57</v>
      </c>
      <c r="B105" s="26">
        <f t="shared" si="5"/>
        <v>0.63874999999999993</v>
      </c>
      <c r="C105" s="25"/>
      <c r="D105" s="47"/>
      <c r="E105" s="48"/>
    </row>
    <row r="106" spans="1:5" ht="12.95" customHeight="1">
      <c r="A106" s="116">
        <v>60</v>
      </c>
      <c r="B106" s="26">
        <f t="shared" ref="B106:B113" si="6">(0.00125*A106^2)-(0.2*A106)+8</f>
        <v>0.5</v>
      </c>
      <c r="C106" s="25"/>
      <c r="D106" s="47"/>
      <c r="E106" s="48"/>
    </row>
    <row r="107" spans="1:5" ht="12.95" customHeight="1">
      <c r="A107" s="117">
        <v>61</v>
      </c>
      <c r="B107" s="27">
        <f t="shared" si="6"/>
        <v>0.45124999999999904</v>
      </c>
      <c r="C107" s="25"/>
      <c r="D107" s="47"/>
      <c r="E107" s="48"/>
    </row>
    <row r="108" spans="1:5" ht="12.95" customHeight="1">
      <c r="A108" s="117">
        <v>65</v>
      </c>
      <c r="B108" s="27">
        <f t="shared" si="6"/>
        <v>0.28125</v>
      </c>
      <c r="C108" s="25"/>
      <c r="D108" s="47"/>
      <c r="E108" s="48"/>
    </row>
    <row r="109" spans="1:5" ht="12.95" customHeight="1">
      <c r="A109" s="118">
        <v>67</v>
      </c>
      <c r="B109" s="27">
        <f t="shared" si="6"/>
        <v>0.21124999999999972</v>
      </c>
      <c r="C109" s="25"/>
      <c r="D109" s="47"/>
      <c r="E109" s="48"/>
    </row>
    <row r="110" spans="1:5" ht="12.95" customHeight="1">
      <c r="A110" s="117">
        <v>70</v>
      </c>
      <c r="B110" s="27">
        <f t="shared" si="6"/>
        <v>0.125</v>
      </c>
      <c r="C110" s="25"/>
      <c r="D110" s="47"/>
      <c r="E110" s="48"/>
    </row>
    <row r="111" spans="1:5" ht="12.95" customHeight="1">
      <c r="A111" s="117">
        <v>72</v>
      </c>
      <c r="B111" s="27">
        <f t="shared" si="6"/>
        <v>8.0000000000000071E-2</v>
      </c>
      <c r="C111" s="25"/>
      <c r="D111" s="47"/>
      <c r="E111" s="48"/>
    </row>
    <row r="112" spans="1:5" ht="12.95" customHeight="1">
      <c r="A112" s="118">
        <v>75</v>
      </c>
      <c r="B112" s="27">
        <f t="shared" si="6"/>
        <v>3.125E-2</v>
      </c>
      <c r="C112" s="25"/>
      <c r="D112" s="47"/>
      <c r="E112" s="48"/>
    </row>
    <row r="113" spans="1:6" ht="12.95" customHeight="1" thickBot="1">
      <c r="A113" s="119">
        <v>80</v>
      </c>
      <c r="B113" s="52">
        <f t="shared" si="6"/>
        <v>0</v>
      </c>
      <c r="C113" s="53"/>
      <c r="D113" s="49"/>
      <c r="E113" s="50"/>
    </row>
    <row r="114" spans="1:6" ht="12.95" customHeight="1" thickTop="1"/>
    <row r="115" spans="1:6" ht="12.95" customHeight="1" thickBot="1"/>
    <row r="116" spans="1:6" ht="30" customHeight="1" thickTop="1">
      <c r="A116" s="8" t="s">
        <v>12</v>
      </c>
      <c r="B116" s="9">
        <v>21</v>
      </c>
      <c r="C116" s="10" t="s">
        <v>10</v>
      </c>
      <c r="D116" s="11" t="s">
        <v>105</v>
      </c>
      <c r="E116" s="12" t="s">
        <v>52</v>
      </c>
      <c r="F116" s="123"/>
    </row>
    <row r="117" spans="1:6" ht="30" customHeight="1">
      <c r="A117" s="13" t="s">
        <v>7</v>
      </c>
      <c r="B117" s="1" t="s">
        <v>107</v>
      </c>
      <c r="C117" s="60"/>
      <c r="D117" s="2" t="s">
        <v>106</v>
      </c>
      <c r="E117" s="61" t="s">
        <v>102</v>
      </c>
      <c r="F117" s="123"/>
    </row>
    <row r="118" spans="1:6" ht="30" customHeight="1">
      <c r="A118" s="13" t="s">
        <v>15</v>
      </c>
      <c r="B118" s="1"/>
      <c r="C118" s="60"/>
      <c r="D118" s="2" t="s">
        <v>101</v>
      </c>
      <c r="E118" s="61" t="s">
        <v>100</v>
      </c>
      <c r="F118" s="123"/>
    </row>
    <row r="119" spans="1:6" ht="30" customHeight="1" thickBot="1">
      <c r="A119" s="13" t="s">
        <v>8</v>
      </c>
      <c r="B119" s="1" t="s">
        <v>99</v>
      </c>
      <c r="C119" s="62"/>
      <c r="D119" s="63"/>
      <c r="E119" s="64"/>
      <c r="F119" s="123"/>
    </row>
    <row r="120" spans="1:6" ht="30" customHeight="1">
      <c r="A120" s="13" t="s">
        <v>9</v>
      </c>
      <c r="B120" s="1" t="s">
        <v>134</v>
      </c>
      <c r="C120" s="4" t="s">
        <v>11</v>
      </c>
      <c r="D120" s="6">
        <v>72</v>
      </c>
      <c r="E120" s="65"/>
      <c r="F120" s="123"/>
    </row>
    <row r="121" spans="1:6" ht="30" customHeight="1" thickBot="1">
      <c r="A121" s="14" t="s">
        <v>16</v>
      </c>
      <c r="B121" s="20" t="s">
        <v>17</v>
      </c>
      <c r="C121" s="5" t="s">
        <v>0</v>
      </c>
      <c r="D121" s="7">
        <f>IF(D120&lt;0,"valor del indicador fuera de rango",IF(D120&lt;=30,1,IF(D120&lt;=60,-0.000556*(D120^2)+(0.0333*D120)+0.5,IF(D120&lt;=90,(0.000556*(D120^2))-(0.1*D120)+4.5,"valor del indicador fuera rango"))))</f>
        <v>0.18230400000000024</v>
      </c>
      <c r="E121" s="66"/>
      <c r="F121" s="123"/>
    </row>
    <row r="122" spans="1:6" ht="30" customHeight="1">
      <c r="A122" s="15" t="s">
        <v>14</v>
      </c>
      <c r="B122" s="3" t="s">
        <v>0</v>
      </c>
      <c r="C122" s="147" t="s">
        <v>13</v>
      </c>
      <c r="D122" s="148"/>
      <c r="E122" s="149"/>
      <c r="F122" s="123"/>
    </row>
    <row r="123" spans="1:6" ht="12.95" customHeight="1">
      <c r="A123" s="28">
        <v>0</v>
      </c>
      <c r="B123" s="24">
        <v>1</v>
      </c>
      <c r="C123" s="124"/>
      <c r="D123" s="124"/>
      <c r="E123" s="125"/>
      <c r="F123" s="123"/>
    </row>
    <row r="124" spans="1:6" ht="12.95" customHeight="1">
      <c r="A124" s="29">
        <f>+A123+4</f>
        <v>4</v>
      </c>
      <c r="B124" s="24">
        <v>1</v>
      </c>
      <c r="C124" s="126"/>
      <c r="D124" s="124"/>
      <c r="E124" s="125"/>
      <c r="F124" s="123"/>
    </row>
    <row r="125" spans="1:6" ht="12.95" customHeight="1">
      <c r="A125" s="29">
        <f t="shared" ref="A125:A142" si="7">+A124+4</f>
        <v>8</v>
      </c>
      <c r="B125" s="24">
        <v>1</v>
      </c>
      <c r="C125" s="126"/>
      <c r="D125" s="124"/>
      <c r="E125" s="125"/>
      <c r="F125" s="123"/>
    </row>
    <row r="126" spans="1:6" ht="12.95" customHeight="1">
      <c r="A126" s="29">
        <f t="shared" si="7"/>
        <v>12</v>
      </c>
      <c r="B126" s="24">
        <v>1</v>
      </c>
      <c r="C126" s="126"/>
      <c r="D126" s="124"/>
      <c r="E126" s="125"/>
      <c r="F126" s="123"/>
    </row>
    <row r="127" spans="1:6" ht="12.95" customHeight="1">
      <c r="A127" s="29">
        <f t="shared" si="7"/>
        <v>16</v>
      </c>
      <c r="B127" s="24">
        <v>1</v>
      </c>
      <c r="C127" s="126"/>
      <c r="D127" s="124"/>
      <c r="E127" s="125"/>
      <c r="F127" s="123"/>
    </row>
    <row r="128" spans="1:6" ht="12.95" customHeight="1">
      <c r="A128" s="29">
        <f t="shared" si="7"/>
        <v>20</v>
      </c>
      <c r="B128" s="24">
        <v>1</v>
      </c>
      <c r="C128" s="126"/>
      <c r="D128" s="124"/>
      <c r="E128" s="125"/>
      <c r="F128" s="123"/>
    </row>
    <row r="129" spans="1:6" ht="12.95" customHeight="1">
      <c r="A129" s="29">
        <f t="shared" si="7"/>
        <v>24</v>
      </c>
      <c r="B129" s="24">
        <v>1</v>
      </c>
      <c r="C129" s="126"/>
      <c r="D129" s="124"/>
      <c r="E129" s="125"/>
      <c r="F129" s="123"/>
    </row>
    <row r="130" spans="1:6" ht="12.95" customHeight="1">
      <c r="A130" s="29">
        <f t="shared" si="7"/>
        <v>28</v>
      </c>
      <c r="B130" s="24">
        <v>1</v>
      </c>
      <c r="C130" s="126"/>
      <c r="D130" s="124"/>
      <c r="E130" s="125"/>
      <c r="F130" s="123"/>
    </row>
    <row r="131" spans="1:6" ht="12.95" customHeight="1">
      <c r="A131" s="30">
        <f t="shared" si="7"/>
        <v>32</v>
      </c>
      <c r="B131" s="26">
        <f>-0.000556*(A131^2)+(0.0333*A131)+0.5</f>
        <v>0.99625600000000014</v>
      </c>
      <c r="C131" s="126"/>
      <c r="D131" s="124"/>
      <c r="E131" s="125"/>
      <c r="F131" s="123"/>
    </row>
    <row r="132" spans="1:6" ht="12.95" customHeight="1">
      <c r="A132" s="30">
        <f t="shared" si="7"/>
        <v>36</v>
      </c>
      <c r="B132" s="26">
        <f t="shared" ref="B132:B138" si="8">-0.000556*(A132^2)+(0.0333*A132)+0.5</f>
        <v>0.97822400000000009</v>
      </c>
      <c r="C132" s="126"/>
      <c r="D132" s="124"/>
      <c r="E132" s="125"/>
      <c r="F132" s="123"/>
    </row>
    <row r="133" spans="1:6" ht="12.95" customHeight="1">
      <c r="A133" s="30">
        <f t="shared" si="7"/>
        <v>40</v>
      </c>
      <c r="B133" s="26">
        <f t="shared" si="8"/>
        <v>0.94240000000000013</v>
      </c>
      <c r="C133" s="126"/>
      <c r="D133" s="124"/>
      <c r="E133" s="125"/>
      <c r="F133" s="123"/>
    </row>
    <row r="134" spans="1:6" ht="12.95" customHeight="1">
      <c r="A134" s="30">
        <f t="shared" si="7"/>
        <v>44</v>
      </c>
      <c r="B134" s="26">
        <f t="shared" si="8"/>
        <v>0.88878400000000024</v>
      </c>
      <c r="C134" s="126"/>
      <c r="D134" s="124"/>
      <c r="E134" s="125"/>
      <c r="F134" s="123"/>
    </row>
    <row r="135" spans="1:6" ht="12.95" customHeight="1">
      <c r="A135" s="30">
        <f t="shared" si="7"/>
        <v>48</v>
      </c>
      <c r="B135" s="26">
        <f t="shared" si="8"/>
        <v>0.81737600000000032</v>
      </c>
      <c r="C135" s="126"/>
      <c r="D135" s="124"/>
      <c r="E135" s="125"/>
      <c r="F135" s="123"/>
    </row>
    <row r="136" spans="1:6" ht="12.95" customHeight="1">
      <c r="A136" s="30">
        <f t="shared" si="7"/>
        <v>52</v>
      </c>
      <c r="B136" s="26">
        <f t="shared" si="8"/>
        <v>0.72817600000000038</v>
      </c>
      <c r="C136" s="126"/>
      <c r="D136" s="124"/>
      <c r="E136" s="125"/>
      <c r="F136" s="123"/>
    </row>
    <row r="137" spans="1:6" ht="12.95" customHeight="1">
      <c r="A137" s="30">
        <f t="shared" si="7"/>
        <v>56</v>
      </c>
      <c r="B137" s="26">
        <f t="shared" si="8"/>
        <v>0.6211840000000004</v>
      </c>
      <c r="C137" s="126"/>
      <c r="D137" s="124"/>
      <c r="E137" s="125"/>
      <c r="F137" s="123"/>
    </row>
    <row r="138" spans="1:6" ht="12.95" customHeight="1">
      <c r="A138" s="30">
        <f t="shared" si="7"/>
        <v>60</v>
      </c>
      <c r="B138" s="26">
        <f t="shared" si="8"/>
        <v>0.4964000000000004</v>
      </c>
      <c r="C138" s="126"/>
      <c r="D138" s="124"/>
      <c r="E138" s="125"/>
      <c r="F138" s="123"/>
    </row>
    <row r="139" spans="1:6" ht="12.95" customHeight="1">
      <c r="A139" s="31">
        <f t="shared" si="7"/>
        <v>64</v>
      </c>
      <c r="B139" s="27">
        <f t="shared" ref="B139:B145" si="9">0.000556*(A139^2)-(0.1*A139)+4.5</f>
        <v>0.37737599999999993</v>
      </c>
      <c r="C139" s="126"/>
      <c r="D139" s="124"/>
      <c r="E139" s="125"/>
      <c r="F139" s="123"/>
    </row>
    <row r="140" spans="1:6" ht="12.95" customHeight="1">
      <c r="A140" s="31">
        <f t="shared" si="7"/>
        <v>68</v>
      </c>
      <c r="B140" s="27">
        <f t="shared" si="9"/>
        <v>0.27094399999999919</v>
      </c>
      <c r="C140" s="126"/>
      <c r="D140" s="124"/>
      <c r="E140" s="125"/>
      <c r="F140" s="123"/>
    </row>
    <row r="141" spans="1:6" ht="12.95" customHeight="1">
      <c r="A141" s="31">
        <f t="shared" si="7"/>
        <v>72</v>
      </c>
      <c r="B141" s="27">
        <f t="shared" si="9"/>
        <v>0.18230400000000024</v>
      </c>
      <c r="C141" s="126"/>
      <c r="D141" s="124"/>
      <c r="E141" s="125"/>
      <c r="F141" s="123"/>
    </row>
    <row r="142" spans="1:6" ht="12.95" customHeight="1">
      <c r="A142" s="31">
        <f t="shared" si="7"/>
        <v>76</v>
      </c>
      <c r="B142" s="27">
        <f t="shared" si="9"/>
        <v>0.11145599999999867</v>
      </c>
      <c r="C142" s="126"/>
      <c r="D142" s="124"/>
      <c r="E142" s="125"/>
      <c r="F142" s="123"/>
    </row>
    <row r="143" spans="1:6" ht="12.95" customHeight="1">
      <c r="A143" s="31">
        <v>78</v>
      </c>
      <c r="B143" s="27">
        <f t="shared" si="9"/>
        <v>8.2703999999999667E-2</v>
      </c>
      <c r="C143" s="126"/>
      <c r="D143" s="124"/>
      <c r="E143" s="125"/>
      <c r="F143" s="123"/>
    </row>
    <row r="144" spans="1:6" ht="12.95" customHeight="1">
      <c r="A144" s="31">
        <f>+A142+4</f>
        <v>80</v>
      </c>
      <c r="B144" s="27">
        <f t="shared" si="9"/>
        <v>5.8399999999999785E-2</v>
      </c>
      <c r="C144" s="126"/>
      <c r="D144" s="124"/>
      <c r="E144" s="125"/>
      <c r="F144" s="123"/>
    </row>
    <row r="145" spans="1:6" ht="12.95" customHeight="1" thickBot="1">
      <c r="A145" s="51">
        <v>90</v>
      </c>
      <c r="B145" s="52">
        <f t="shared" si="9"/>
        <v>3.5999999999996035E-3</v>
      </c>
      <c r="C145" s="127"/>
      <c r="D145" s="128"/>
      <c r="E145" s="129"/>
      <c r="F145" s="123"/>
    </row>
    <row r="146" spans="1:6" ht="12.95" customHeight="1" thickTop="1">
      <c r="A146" s="123"/>
      <c r="B146" s="123"/>
      <c r="C146" s="123"/>
      <c r="D146" s="123"/>
      <c r="E146" s="123"/>
      <c r="F146" s="123"/>
    </row>
    <row r="147" spans="1:6" ht="12.95" customHeight="1" thickBot="1">
      <c r="A147" s="123"/>
      <c r="B147" s="123"/>
      <c r="C147" s="123"/>
      <c r="D147" s="123"/>
      <c r="E147" s="123"/>
      <c r="F147" s="123"/>
    </row>
    <row r="148" spans="1:6" ht="30" customHeight="1" thickTop="1">
      <c r="A148" s="8" t="s">
        <v>12</v>
      </c>
      <c r="B148" s="9">
        <v>22</v>
      </c>
      <c r="C148" s="10" t="s">
        <v>10</v>
      </c>
      <c r="D148" s="11" t="s">
        <v>105</v>
      </c>
      <c r="E148" s="12" t="s">
        <v>52</v>
      </c>
      <c r="F148" s="123"/>
    </row>
    <row r="149" spans="1:6" ht="30" customHeight="1">
      <c r="A149" s="13" t="s">
        <v>7</v>
      </c>
      <c r="B149" s="1" t="s">
        <v>104</v>
      </c>
      <c r="C149" s="60"/>
      <c r="D149" s="2" t="s">
        <v>103</v>
      </c>
      <c r="E149" s="61" t="s">
        <v>102</v>
      </c>
      <c r="F149" s="123"/>
    </row>
    <row r="150" spans="1:6" ht="30" customHeight="1">
      <c r="A150" s="13" t="s">
        <v>15</v>
      </c>
      <c r="B150" s="1"/>
      <c r="C150" s="60"/>
      <c r="D150" s="2" t="s">
        <v>101</v>
      </c>
      <c r="E150" s="61" t="s">
        <v>100</v>
      </c>
      <c r="F150" s="123"/>
    </row>
    <row r="151" spans="1:6" ht="30" customHeight="1" thickBot="1">
      <c r="A151" s="13" t="s">
        <v>8</v>
      </c>
      <c r="B151" s="1" t="s">
        <v>99</v>
      </c>
      <c r="C151" s="62"/>
      <c r="D151" s="63"/>
      <c r="E151" s="64"/>
      <c r="F151" s="123"/>
    </row>
    <row r="152" spans="1:6" ht="30" customHeight="1">
      <c r="A152" s="13" t="s">
        <v>9</v>
      </c>
      <c r="B152" s="1" t="s">
        <v>134</v>
      </c>
      <c r="C152" s="4" t="s">
        <v>11</v>
      </c>
      <c r="D152" s="6">
        <v>52</v>
      </c>
      <c r="E152" s="65"/>
      <c r="F152" s="123"/>
    </row>
    <row r="153" spans="1:6" ht="30" customHeight="1" thickBot="1">
      <c r="A153" s="14" t="s">
        <v>16</v>
      </c>
      <c r="B153" s="20" t="s">
        <v>17</v>
      </c>
      <c r="C153" s="5" t="s">
        <v>0</v>
      </c>
      <c r="D153" s="7">
        <f>IF(D152&lt;0,"valor del indicador fuera de rango",IF(D152&lt;=30,1,IF(D152&lt;=60,-0.000556*(D152^2)+(0.0333*D152)+0.5,IF(D152&lt;=90,(0.000556*(D152^2))-(0.1*D152)+4.5,"valor del indicador fuera rango"))))</f>
        <v>0.72817600000000038</v>
      </c>
      <c r="E153" s="66"/>
      <c r="F153" s="123"/>
    </row>
    <row r="154" spans="1:6" ht="30" customHeight="1">
      <c r="A154" s="15" t="s">
        <v>14</v>
      </c>
      <c r="B154" s="3" t="s">
        <v>0</v>
      </c>
      <c r="C154" s="147" t="s">
        <v>13</v>
      </c>
      <c r="D154" s="148"/>
      <c r="E154" s="149"/>
      <c r="F154" s="123"/>
    </row>
    <row r="155" spans="1:6" ht="12.95" customHeight="1">
      <c r="A155" s="28">
        <v>0</v>
      </c>
      <c r="B155" s="24">
        <v>1</v>
      </c>
      <c r="C155" s="124"/>
      <c r="D155" s="124"/>
      <c r="E155" s="125"/>
      <c r="F155" s="123"/>
    </row>
    <row r="156" spans="1:6" ht="12.95" customHeight="1">
      <c r="A156" s="29">
        <f>+A155+4</f>
        <v>4</v>
      </c>
      <c r="B156" s="24">
        <v>1</v>
      </c>
      <c r="C156" s="126"/>
      <c r="D156" s="124"/>
      <c r="E156" s="125"/>
      <c r="F156" s="123"/>
    </row>
    <row r="157" spans="1:6" ht="12.95" customHeight="1">
      <c r="A157" s="29">
        <f t="shared" ref="A157:A173" si="10">+A156+4</f>
        <v>8</v>
      </c>
      <c r="B157" s="24">
        <v>1</v>
      </c>
      <c r="C157" s="126"/>
      <c r="D157" s="124"/>
      <c r="E157" s="125"/>
      <c r="F157" s="123"/>
    </row>
    <row r="158" spans="1:6" ht="12.95" customHeight="1">
      <c r="A158" s="29">
        <f t="shared" si="10"/>
        <v>12</v>
      </c>
      <c r="B158" s="24">
        <v>1</v>
      </c>
      <c r="C158" s="126"/>
      <c r="D158" s="124"/>
      <c r="E158" s="125"/>
      <c r="F158" s="123"/>
    </row>
    <row r="159" spans="1:6" ht="12.95" customHeight="1">
      <c r="A159" s="29">
        <f t="shared" si="10"/>
        <v>16</v>
      </c>
      <c r="B159" s="24">
        <v>1</v>
      </c>
      <c r="C159" s="126"/>
      <c r="D159" s="124"/>
      <c r="E159" s="125"/>
      <c r="F159" s="123"/>
    </row>
    <row r="160" spans="1:6" ht="12.95" customHeight="1">
      <c r="A160" s="29">
        <f t="shared" si="10"/>
        <v>20</v>
      </c>
      <c r="B160" s="24">
        <v>1</v>
      </c>
      <c r="C160" s="126"/>
      <c r="D160" s="124"/>
      <c r="E160" s="125"/>
      <c r="F160" s="123"/>
    </row>
    <row r="161" spans="1:6" ht="12.95" customHeight="1">
      <c r="A161" s="29">
        <f t="shared" si="10"/>
        <v>24</v>
      </c>
      <c r="B161" s="24">
        <v>1</v>
      </c>
      <c r="C161" s="126"/>
      <c r="D161" s="124"/>
      <c r="E161" s="125"/>
      <c r="F161" s="123"/>
    </row>
    <row r="162" spans="1:6" ht="12.95" customHeight="1">
      <c r="A162" s="29">
        <f t="shared" si="10"/>
        <v>28</v>
      </c>
      <c r="B162" s="24">
        <v>1</v>
      </c>
      <c r="C162" s="126"/>
      <c r="D162" s="124"/>
      <c r="E162" s="125"/>
      <c r="F162" s="123"/>
    </row>
    <row r="163" spans="1:6" ht="12.95" customHeight="1">
      <c r="A163" s="30">
        <f t="shared" si="10"/>
        <v>32</v>
      </c>
      <c r="B163" s="26">
        <f>-0.000556*(A163^2)+(0.0333*A163)+0.5</f>
        <v>0.99625600000000014</v>
      </c>
      <c r="C163" s="126"/>
      <c r="D163" s="124"/>
      <c r="E163" s="125"/>
      <c r="F163" s="123"/>
    </row>
    <row r="164" spans="1:6" ht="12.95" customHeight="1">
      <c r="A164" s="30">
        <f t="shared" si="10"/>
        <v>36</v>
      </c>
      <c r="B164" s="26">
        <f t="shared" ref="B164:B169" si="11">-0.000556*(A164^2)+(0.0333*A164)+0.5</f>
        <v>0.97822400000000009</v>
      </c>
      <c r="C164" s="126"/>
      <c r="D164" s="124"/>
      <c r="E164" s="125"/>
      <c r="F164" s="123"/>
    </row>
    <row r="165" spans="1:6" ht="12.95" customHeight="1">
      <c r="A165" s="30">
        <f t="shared" si="10"/>
        <v>40</v>
      </c>
      <c r="B165" s="26">
        <f t="shared" si="11"/>
        <v>0.94240000000000013</v>
      </c>
      <c r="C165" s="126"/>
      <c r="D165" s="124"/>
      <c r="E165" s="125"/>
      <c r="F165" s="123"/>
    </row>
    <row r="166" spans="1:6" ht="12.95" customHeight="1">
      <c r="A166" s="30">
        <f t="shared" si="10"/>
        <v>44</v>
      </c>
      <c r="B166" s="26">
        <f t="shared" si="11"/>
        <v>0.88878400000000024</v>
      </c>
      <c r="C166" s="126"/>
      <c r="D166" s="124"/>
      <c r="E166" s="125"/>
      <c r="F166" s="123"/>
    </row>
    <row r="167" spans="1:6" ht="12.95" customHeight="1">
      <c r="A167" s="30">
        <f t="shared" si="10"/>
        <v>48</v>
      </c>
      <c r="B167" s="26">
        <f t="shared" si="11"/>
        <v>0.81737600000000032</v>
      </c>
      <c r="C167" s="126"/>
      <c r="D167" s="124"/>
      <c r="E167" s="125"/>
      <c r="F167" s="123"/>
    </row>
    <row r="168" spans="1:6" ht="12.95" customHeight="1">
      <c r="A168" s="30">
        <f t="shared" si="10"/>
        <v>52</v>
      </c>
      <c r="B168" s="26">
        <f t="shared" si="11"/>
        <v>0.72817600000000038</v>
      </c>
      <c r="C168" s="126"/>
      <c r="D168" s="124"/>
      <c r="E168" s="125"/>
      <c r="F168" s="123"/>
    </row>
    <row r="169" spans="1:6" ht="12.95" customHeight="1">
      <c r="A169" s="30">
        <v>60</v>
      </c>
      <c r="B169" s="26">
        <f t="shared" si="11"/>
        <v>0.4964000000000004</v>
      </c>
      <c r="C169" s="126"/>
      <c r="D169" s="124"/>
      <c r="E169" s="125"/>
      <c r="F169" s="123"/>
    </row>
    <row r="170" spans="1:6" ht="12.95" customHeight="1">
      <c r="A170" s="31">
        <f t="shared" si="10"/>
        <v>64</v>
      </c>
      <c r="B170" s="27">
        <f>0.000556*(A170^2)-(0.1*A170)+4.5</f>
        <v>0.37737599999999993</v>
      </c>
      <c r="C170" s="126"/>
      <c r="D170" s="124"/>
      <c r="E170" s="125"/>
      <c r="F170" s="123"/>
    </row>
    <row r="171" spans="1:6" ht="12.95" customHeight="1">
      <c r="A171" s="31">
        <f t="shared" si="10"/>
        <v>68</v>
      </c>
      <c r="B171" s="27">
        <f>0.000556*(A171^2)-(0.1*A171)+4.5</f>
        <v>0.27094399999999919</v>
      </c>
      <c r="C171" s="126"/>
      <c r="D171" s="124"/>
      <c r="E171" s="125"/>
      <c r="F171" s="123"/>
    </row>
    <row r="172" spans="1:6" ht="12.95" customHeight="1">
      <c r="A172" s="31">
        <v>76</v>
      </c>
      <c r="B172" s="27">
        <f>0.000556*(A172^2)-(0.1*A172)+4.5</f>
        <v>0.11145599999999867</v>
      </c>
      <c r="C172" s="126"/>
      <c r="D172" s="124"/>
      <c r="E172" s="125"/>
      <c r="F172" s="123"/>
    </row>
    <row r="173" spans="1:6" ht="12.95" customHeight="1">
      <c r="A173" s="31">
        <f t="shared" si="10"/>
        <v>80</v>
      </c>
      <c r="B173" s="27">
        <f>0.000556*(A173^2)-(0.1*A173)+4.5</f>
        <v>5.8399999999999785E-2</v>
      </c>
      <c r="C173" s="126"/>
      <c r="D173" s="124"/>
      <c r="E173" s="125"/>
      <c r="F173" s="123"/>
    </row>
    <row r="174" spans="1:6" ht="12.95" customHeight="1" thickBot="1">
      <c r="A174" s="51">
        <v>90</v>
      </c>
      <c r="B174" s="52">
        <f>0.000556*(A174^2)-(0.1*A174)+4.5</f>
        <v>3.5999999999996035E-3</v>
      </c>
      <c r="C174" s="127"/>
      <c r="D174" s="128"/>
      <c r="E174" s="129"/>
      <c r="F174" s="123"/>
    </row>
    <row r="175" spans="1:6" ht="12.95" customHeight="1" thickTop="1">
      <c r="A175" s="123"/>
      <c r="B175" s="123"/>
      <c r="C175" s="123"/>
      <c r="D175" s="123"/>
      <c r="E175" s="123"/>
      <c r="F175" s="123"/>
    </row>
    <row r="176" spans="1:6" ht="12.95" customHeight="1" thickBot="1">
      <c r="A176" s="123"/>
      <c r="B176" s="123"/>
      <c r="C176" s="123"/>
      <c r="D176" s="123"/>
      <c r="E176" s="123"/>
      <c r="F176" s="123"/>
    </row>
    <row r="177" spans="1:6" ht="30" customHeight="1" thickTop="1">
      <c r="A177" s="8" t="s">
        <v>12</v>
      </c>
      <c r="B177" s="9">
        <v>23</v>
      </c>
      <c r="C177" s="10" t="s">
        <v>10</v>
      </c>
      <c r="D177" s="11" t="s">
        <v>98</v>
      </c>
      <c r="E177" s="12" t="s">
        <v>23</v>
      </c>
      <c r="F177" s="123"/>
    </row>
    <row r="178" spans="1:6" ht="30" customHeight="1">
      <c r="A178" s="13" t="s">
        <v>7</v>
      </c>
      <c r="B178" s="1" t="s">
        <v>97</v>
      </c>
      <c r="C178" s="60"/>
      <c r="D178" s="2"/>
      <c r="E178" s="61"/>
      <c r="F178" s="123"/>
    </row>
    <row r="179" spans="1:6" ht="30" customHeight="1">
      <c r="A179" s="13" t="s">
        <v>15</v>
      </c>
      <c r="B179" s="1"/>
      <c r="C179" s="60"/>
      <c r="D179" s="2"/>
      <c r="E179" s="61"/>
      <c r="F179" s="123"/>
    </row>
    <row r="180" spans="1:6" ht="30" customHeight="1" thickBot="1">
      <c r="A180" s="13" t="s">
        <v>8</v>
      </c>
      <c r="B180" s="1" t="s">
        <v>47</v>
      </c>
      <c r="C180" s="62"/>
      <c r="D180" s="63"/>
      <c r="E180" s="64"/>
      <c r="F180" s="123"/>
    </row>
    <row r="181" spans="1:6" ht="30" customHeight="1">
      <c r="A181" s="13" t="s">
        <v>9</v>
      </c>
      <c r="B181" s="1" t="s">
        <v>86</v>
      </c>
      <c r="C181" s="4" t="s">
        <v>11</v>
      </c>
      <c r="D181" s="6">
        <v>40</v>
      </c>
      <c r="E181" s="65"/>
      <c r="F181" s="123"/>
    </row>
    <row r="182" spans="1:6" ht="30" customHeight="1" thickBot="1">
      <c r="A182" s="14" t="s">
        <v>16</v>
      </c>
      <c r="B182" s="20" t="s">
        <v>17</v>
      </c>
      <c r="C182" s="5" t="s">
        <v>0</v>
      </c>
      <c r="D182" s="7">
        <f>IF(D181&lt;0,"valor del indicador fuera de rango",IF(D181&lt;=100,-0.01*(D181)+1,"valor del indicador fuera rango"))</f>
        <v>0.6</v>
      </c>
      <c r="E182" s="66"/>
      <c r="F182" s="123"/>
    </row>
    <row r="183" spans="1:6" ht="30" customHeight="1">
      <c r="A183" s="15" t="s">
        <v>14</v>
      </c>
      <c r="B183" s="3" t="s">
        <v>0</v>
      </c>
      <c r="C183" s="147" t="s">
        <v>13</v>
      </c>
      <c r="D183" s="148"/>
      <c r="E183" s="149"/>
      <c r="F183" s="123"/>
    </row>
    <row r="184" spans="1:6" ht="12.95" customHeight="1">
      <c r="A184" s="28">
        <v>0</v>
      </c>
      <c r="B184" s="24">
        <f>(-0.01*A184)+1</f>
        <v>1</v>
      </c>
      <c r="C184" s="124"/>
      <c r="D184" s="124"/>
      <c r="E184" s="125"/>
      <c r="F184" s="123"/>
    </row>
    <row r="185" spans="1:6" ht="12.95" customHeight="1">
      <c r="A185" s="29">
        <f>+A184+5</f>
        <v>5</v>
      </c>
      <c r="B185" s="24">
        <f t="shared" ref="B185:B202" si="12">(-0.01*A185)+1</f>
        <v>0.95</v>
      </c>
      <c r="C185" s="126"/>
      <c r="D185" s="124"/>
      <c r="E185" s="125"/>
      <c r="F185" s="123"/>
    </row>
    <row r="186" spans="1:6" ht="12.95" customHeight="1">
      <c r="A186" s="29">
        <f t="shared" ref="A186:A200" si="13">+A185+5</f>
        <v>10</v>
      </c>
      <c r="B186" s="24">
        <f t="shared" si="12"/>
        <v>0.9</v>
      </c>
      <c r="C186" s="126"/>
      <c r="D186" s="124"/>
      <c r="E186" s="125"/>
      <c r="F186" s="123"/>
    </row>
    <row r="187" spans="1:6" ht="12.95" customHeight="1">
      <c r="A187" s="29">
        <f t="shared" si="13"/>
        <v>15</v>
      </c>
      <c r="B187" s="24">
        <f t="shared" si="12"/>
        <v>0.85</v>
      </c>
      <c r="C187" s="126"/>
      <c r="D187" s="124"/>
      <c r="E187" s="125"/>
      <c r="F187" s="123"/>
    </row>
    <row r="188" spans="1:6" ht="12.95" customHeight="1">
      <c r="A188" s="29">
        <f t="shared" si="13"/>
        <v>20</v>
      </c>
      <c r="B188" s="24">
        <f t="shared" si="12"/>
        <v>0.8</v>
      </c>
      <c r="C188" s="126"/>
      <c r="D188" s="124"/>
      <c r="E188" s="125"/>
      <c r="F188" s="123"/>
    </row>
    <row r="189" spans="1:6" ht="12.95" customHeight="1">
      <c r="A189" s="29">
        <f t="shared" si="13"/>
        <v>25</v>
      </c>
      <c r="B189" s="24">
        <f t="shared" si="12"/>
        <v>0.75</v>
      </c>
      <c r="C189" s="126"/>
      <c r="D189" s="124"/>
      <c r="E189" s="125"/>
      <c r="F189" s="123"/>
    </row>
    <row r="190" spans="1:6" ht="12.95" customHeight="1">
      <c r="A190" s="29">
        <f t="shared" si="13"/>
        <v>30</v>
      </c>
      <c r="B190" s="24">
        <f t="shared" si="12"/>
        <v>0.7</v>
      </c>
      <c r="C190" s="126"/>
      <c r="D190" s="124"/>
      <c r="E190" s="125"/>
      <c r="F190" s="123"/>
    </row>
    <row r="191" spans="1:6" ht="12.95" customHeight="1">
      <c r="A191" s="29">
        <f t="shared" si="13"/>
        <v>35</v>
      </c>
      <c r="B191" s="24">
        <f t="shared" si="12"/>
        <v>0.64999999999999991</v>
      </c>
      <c r="C191" s="126"/>
      <c r="D191" s="124"/>
      <c r="E191" s="125"/>
      <c r="F191" s="123"/>
    </row>
    <row r="192" spans="1:6" ht="12.95" customHeight="1">
      <c r="A192" s="29">
        <f t="shared" si="13"/>
        <v>40</v>
      </c>
      <c r="B192" s="24">
        <f t="shared" si="12"/>
        <v>0.6</v>
      </c>
      <c r="C192" s="126"/>
      <c r="D192" s="124"/>
      <c r="E192" s="125"/>
      <c r="F192" s="123"/>
    </row>
    <row r="193" spans="1:6" ht="12.95" customHeight="1">
      <c r="A193" s="29">
        <f t="shared" si="13"/>
        <v>45</v>
      </c>
      <c r="B193" s="24">
        <f t="shared" si="12"/>
        <v>0.55000000000000004</v>
      </c>
      <c r="C193" s="126"/>
      <c r="D193" s="124"/>
      <c r="E193" s="125"/>
      <c r="F193" s="123"/>
    </row>
    <row r="194" spans="1:6" ht="12.95" customHeight="1">
      <c r="A194" s="29">
        <f t="shared" si="13"/>
        <v>50</v>
      </c>
      <c r="B194" s="24">
        <f t="shared" si="12"/>
        <v>0.5</v>
      </c>
      <c r="C194" s="126"/>
      <c r="D194" s="124"/>
      <c r="E194" s="125"/>
      <c r="F194" s="123"/>
    </row>
    <row r="195" spans="1:6" ht="12.95" customHeight="1">
      <c r="A195" s="29">
        <f t="shared" si="13"/>
        <v>55</v>
      </c>
      <c r="B195" s="24">
        <f t="shared" si="12"/>
        <v>0.44999999999999996</v>
      </c>
      <c r="C195" s="126"/>
      <c r="D195" s="124"/>
      <c r="E195" s="125"/>
      <c r="F195" s="123"/>
    </row>
    <row r="196" spans="1:6" ht="12.95" customHeight="1">
      <c r="A196" s="29">
        <f t="shared" si="13"/>
        <v>60</v>
      </c>
      <c r="B196" s="24">
        <f t="shared" si="12"/>
        <v>0.4</v>
      </c>
      <c r="C196" s="126"/>
      <c r="D196" s="124"/>
      <c r="E196" s="125"/>
      <c r="F196" s="123"/>
    </row>
    <row r="197" spans="1:6" ht="12.95" customHeight="1">
      <c r="A197" s="29">
        <f t="shared" si="13"/>
        <v>65</v>
      </c>
      <c r="B197" s="24">
        <f t="shared" si="12"/>
        <v>0.35</v>
      </c>
      <c r="C197" s="126"/>
      <c r="D197" s="124"/>
      <c r="E197" s="125"/>
      <c r="F197" s="123"/>
    </row>
    <row r="198" spans="1:6" ht="12.95" customHeight="1">
      <c r="A198" s="29">
        <f t="shared" si="13"/>
        <v>70</v>
      </c>
      <c r="B198" s="24">
        <f t="shared" si="12"/>
        <v>0.29999999999999993</v>
      </c>
      <c r="C198" s="126"/>
      <c r="D198" s="124"/>
      <c r="E198" s="125"/>
      <c r="F198" s="123"/>
    </row>
    <row r="199" spans="1:6" ht="12.95" customHeight="1">
      <c r="A199" s="29">
        <f t="shared" si="13"/>
        <v>75</v>
      </c>
      <c r="B199" s="24">
        <f t="shared" si="12"/>
        <v>0.25</v>
      </c>
      <c r="C199" s="126"/>
      <c r="D199" s="124"/>
      <c r="E199" s="125"/>
      <c r="F199" s="123"/>
    </row>
    <row r="200" spans="1:6" ht="12.95" customHeight="1">
      <c r="A200" s="29">
        <f t="shared" si="13"/>
        <v>80</v>
      </c>
      <c r="B200" s="24">
        <f t="shared" si="12"/>
        <v>0.19999999999999996</v>
      </c>
      <c r="C200" s="126"/>
      <c r="D200" s="124"/>
      <c r="E200" s="125"/>
      <c r="F200" s="123"/>
    </row>
    <row r="201" spans="1:6" ht="12.95" customHeight="1">
      <c r="A201" s="29">
        <v>90</v>
      </c>
      <c r="B201" s="24">
        <f t="shared" si="12"/>
        <v>9.9999999999999978E-2</v>
      </c>
      <c r="C201" s="126"/>
      <c r="D201" s="124"/>
      <c r="E201" s="125"/>
      <c r="F201" s="123"/>
    </row>
    <row r="202" spans="1:6" ht="12.95" customHeight="1" thickBot="1">
      <c r="A202" s="56">
        <v>100</v>
      </c>
      <c r="B202" s="59">
        <f t="shared" si="12"/>
        <v>0</v>
      </c>
      <c r="C202" s="127"/>
      <c r="D202" s="128"/>
      <c r="E202" s="129"/>
      <c r="F202" s="123"/>
    </row>
    <row r="203" spans="1:6" ht="12.95" customHeight="1" thickTop="1"/>
  </sheetData>
  <mergeCells count="7">
    <mergeCell ref="C154:E154"/>
    <mergeCell ref="C183:E183"/>
    <mergeCell ref="C93:E93"/>
    <mergeCell ref="C7:E7"/>
    <mergeCell ref="C35:E35"/>
    <mergeCell ref="C64:E64"/>
    <mergeCell ref="C122:E12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5"/>
  <sheetViews>
    <sheetView topLeftCell="A187" zoomScale="75" workbookViewId="0">
      <selection sqref="A1:IV65536"/>
    </sheetView>
  </sheetViews>
  <sheetFormatPr baseColWidth="10" defaultColWidth="22.83203125" defaultRowHeight="12.95" customHeight="1"/>
  <cols>
    <col min="1" max="1" width="25.83203125" style="123" customWidth="1"/>
    <col min="2" max="2" width="40.83203125" style="123" customWidth="1"/>
    <col min="3" max="16384" width="22.83203125" style="123"/>
  </cols>
  <sheetData>
    <row r="1" spans="1:5" ht="30" customHeight="1" thickTop="1">
      <c r="A1" s="8" t="s">
        <v>12</v>
      </c>
      <c r="B1" s="32">
        <v>24</v>
      </c>
      <c r="C1" s="10" t="s">
        <v>10</v>
      </c>
      <c r="D1" s="33" t="s">
        <v>109</v>
      </c>
      <c r="E1" s="34" t="s">
        <v>124</v>
      </c>
    </row>
    <row r="2" spans="1:5" ht="30" customHeight="1">
      <c r="A2" s="13" t="s">
        <v>7</v>
      </c>
      <c r="B2" s="35" t="s">
        <v>123</v>
      </c>
      <c r="C2" s="39"/>
      <c r="D2" s="36" t="s">
        <v>125</v>
      </c>
      <c r="E2" s="40" t="s">
        <v>126</v>
      </c>
    </row>
    <row r="3" spans="1:5" ht="30" customHeight="1">
      <c r="A3" s="13" t="s">
        <v>15</v>
      </c>
      <c r="B3" s="35"/>
      <c r="C3" s="39"/>
      <c r="D3" s="36" t="s">
        <v>127</v>
      </c>
      <c r="E3" s="40" t="s">
        <v>128</v>
      </c>
    </row>
    <row r="4" spans="1:5" ht="30" customHeight="1" thickBot="1">
      <c r="A4" s="13" t="s">
        <v>8</v>
      </c>
      <c r="B4" s="35" t="s">
        <v>99</v>
      </c>
      <c r="C4" s="41"/>
      <c r="D4" s="42"/>
      <c r="E4" s="43"/>
    </row>
    <row r="5" spans="1:5" ht="30" customHeight="1">
      <c r="A5" s="13" t="s">
        <v>9</v>
      </c>
      <c r="B5" s="35" t="s">
        <v>135</v>
      </c>
      <c r="C5" s="4" t="s">
        <v>11</v>
      </c>
      <c r="D5" s="6">
        <v>40</v>
      </c>
      <c r="E5" s="44"/>
    </row>
    <row r="6" spans="1:5" ht="30" customHeight="1" thickBot="1">
      <c r="A6" s="14" t="s">
        <v>16</v>
      </c>
      <c r="B6" s="20" t="s">
        <v>17</v>
      </c>
      <c r="C6" s="5" t="s">
        <v>0</v>
      </c>
      <c r="D6" s="7">
        <f>IF(D5&lt;0,"valor del indicador fuera de rango",IF(D5&lt;=25,1,IF(D5&lt;=37.5,-0.0032*(D5^2)+(0.16*D5)-1,IF(D5&lt;=50,(0.0032*(D5^2))-(0.32*D5)+8,"valor del indicador fuera rango"))))</f>
        <v>0.3199999999999994</v>
      </c>
      <c r="E6" s="45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130">
        <v>0</v>
      </c>
      <c r="B8" s="24">
        <v>1</v>
      </c>
      <c r="C8" s="47"/>
      <c r="D8" s="47"/>
      <c r="E8" s="48"/>
    </row>
    <row r="9" spans="1:5" ht="12.95" customHeight="1">
      <c r="A9" s="131">
        <v>2.5</v>
      </c>
      <c r="B9" s="24">
        <v>1</v>
      </c>
      <c r="C9" s="25"/>
      <c r="D9" s="47"/>
      <c r="E9" s="48"/>
    </row>
    <row r="10" spans="1:5" ht="12.95" customHeight="1">
      <c r="A10" s="131">
        <v>5</v>
      </c>
      <c r="B10" s="24">
        <v>1</v>
      </c>
      <c r="C10" s="25"/>
      <c r="D10" s="47"/>
      <c r="E10" s="48"/>
    </row>
    <row r="11" spans="1:5" ht="12.95" customHeight="1">
      <c r="A11" s="131">
        <v>7.5</v>
      </c>
      <c r="B11" s="24">
        <v>1</v>
      </c>
      <c r="C11" s="25"/>
      <c r="D11" s="47"/>
      <c r="E11" s="48"/>
    </row>
    <row r="12" spans="1:5" ht="12.95" customHeight="1">
      <c r="A12" s="131">
        <v>10</v>
      </c>
      <c r="B12" s="24">
        <v>1</v>
      </c>
      <c r="C12" s="25"/>
      <c r="D12" s="47"/>
      <c r="E12" s="48"/>
    </row>
    <row r="13" spans="1:5" ht="12.95" customHeight="1">
      <c r="A13" s="131">
        <v>12.5</v>
      </c>
      <c r="B13" s="24">
        <v>1</v>
      </c>
      <c r="C13" s="25"/>
      <c r="D13" s="47"/>
      <c r="E13" s="48"/>
    </row>
    <row r="14" spans="1:5" ht="12.95" customHeight="1">
      <c r="A14" s="131">
        <v>15</v>
      </c>
      <c r="B14" s="24">
        <v>1</v>
      </c>
      <c r="C14" s="25"/>
      <c r="D14" s="47"/>
      <c r="E14" s="48"/>
    </row>
    <row r="15" spans="1:5" ht="12.95" customHeight="1">
      <c r="A15" s="131">
        <v>20</v>
      </c>
      <c r="B15" s="24">
        <v>1</v>
      </c>
      <c r="C15" s="25"/>
      <c r="D15" s="47"/>
      <c r="E15" s="48"/>
    </row>
    <row r="16" spans="1:5" ht="12.95" customHeight="1">
      <c r="A16" s="131">
        <v>22.5</v>
      </c>
      <c r="B16" s="24">
        <v>1</v>
      </c>
      <c r="C16" s="25"/>
      <c r="D16" s="47"/>
      <c r="E16" s="48"/>
    </row>
    <row r="17" spans="1:5" ht="12.95" customHeight="1">
      <c r="A17" s="131">
        <v>25</v>
      </c>
      <c r="B17" s="24">
        <v>1</v>
      </c>
      <c r="C17" s="25"/>
      <c r="D17" s="47"/>
      <c r="E17" s="48"/>
    </row>
    <row r="18" spans="1:5" ht="12.95" customHeight="1">
      <c r="A18" s="132">
        <v>27.5</v>
      </c>
      <c r="B18" s="26">
        <f>-0.0032*(A18^2)+(0.16*A18)-1</f>
        <v>0.98000000000000043</v>
      </c>
      <c r="C18" s="25"/>
      <c r="D18" s="47"/>
      <c r="E18" s="48"/>
    </row>
    <row r="19" spans="1:5" ht="12.95" customHeight="1">
      <c r="A19" s="132">
        <v>30</v>
      </c>
      <c r="B19" s="26">
        <f>-0.0032*(A19^2)+(0.16*A19)-1</f>
        <v>0.91999999999999948</v>
      </c>
      <c r="C19" s="25"/>
      <c r="D19" s="47"/>
      <c r="E19" s="48"/>
    </row>
    <row r="20" spans="1:5" ht="12.95" customHeight="1">
      <c r="A20" s="132">
        <v>32.5</v>
      </c>
      <c r="B20" s="26">
        <f>-0.0032*(A20^2)+(0.16*A20)-1</f>
        <v>0.81999999999999984</v>
      </c>
      <c r="C20" s="25"/>
      <c r="D20" s="47"/>
      <c r="E20" s="48"/>
    </row>
    <row r="21" spans="1:5" ht="12.95" customHeight="1">
      <c r="A21" s="132">
        <v>35</v>
      </c>
      <c r="B21" s="26">
        <f>-0.0032*(A21^2)+(0.16*A21)-1</f>
        <v>0.68000000000000016</v>
      </c>
      <c r="C21" s="25"/>
      <c r="D21" s="47"/>
      <c r="E21" s="48"/>
    </row>
    <row r="22" spans="1:5" ht="12.95" customHeight="1">
      <c r="A22" s="132">
        <v>37.5</v>
      </c>
      <c r="B22" s="26">
        <f>-0.0032*(A22^2)+(0.16*A22)-1</f>
        <v>0.5</v>
      </c>
      <c r="C22" s="25"/>
      <c r="D22" s="47"/>
      <c r="E22" s="48"/>
    </row>
    <row r="23" spans="1:5" ht="12.95" customHeight="1">
      <c r="A23" s="133">
        <v>40</v>
      </c>
      <c r="B23" s="27">
        <f>0.0032*(A23^2)-(0.32*A23)+8</f>
        <v>0.3199999999999994</v>
      </c>
      <c r="C23" s="25"/>
      <c r="D23" s="47"/>
      <c r="E23" s="48"/>
    </row>
    <row r="24" spans="1:5" ht="12.95" customHeight="1">
      <c r="A24" s="133">
        <v>42.5</v>
      </c>
      <c r="B24" s="27">
        <f>0.0032*(A24^2)-(0.32*A24)+8</f>
        <v>0.1800000000000006</v>
      </c>
      <c r="C24" s="25"/>
      <c r="D24" s="47"/>
      <c r="E24" s="48"/>
    </row>
    <row r="25" spans="1:5" ht="12.95" customHeight="1">
      <c r="A25" s="133">
        <v>45</v>
      </c>
      <c r="B25" s="27">
        <f>0.0032*(A25^2)-(0.32*A25)+8</f>
        <v>8.0000000000000071E-2</v>
      </c>
      <c r="C25" s="25"/>
      <c r="D25" s="47"/>
      <c r="E25" s="48"/>
    </row>
    <row r="26" spans="1:5" ht="12.95" customHeight="1">
      <c r="A26" s="133">
        <v>47.5</v>
      </c>
      <c r="B26" s="27">
        <f>0.0032*(A26^2)-(0.32*A26)+8</f>
        <v>1.9999999999999574E-2</v>
      </c>
      <c r="C26" s="25"/>
      <c r="D26" s="47"/>
      <c r="E26" s="48"/>
    </row>
    <row r="27" spans="1:5" ht="12.95" customHeight="1" thickBot="1">
      <c r="A27" s="134">
        <v>50</v>
      </c>
      <c r="B27" s="52">
        <f>0.0032*(A27^2)-(0.32*A27)+8</f>
        <v>0</v>
      </c>
      <c r="C27" s="53"/>
      <c r="D27" s="49"/>
      <c r="E27" s="50"/>
    </row>
    <row r="28" spans="1:5" ht="12.95" customHeight="1" thickTop="1"/>
    <row r="29" spans="1:5" ht="12.95" customHeight="1" thickBot="1"/>
    <row r="30" spans="1:5" ht="30" customHeight="1" thickTop="1">
      <c r="A30" s="8" t="s">
        <v>12</v>
      </c>
      <c r="B30" s="32">
        <v>25</v>
      </c>
      <c r="C30" s="10" t="s">
        <v>10</v>
      </c>
      <c r="D30" s="33" t="s">
        <v>109</v>
      </c>
      <c r="E30" s="34" t="s">
        <v>52</v>
      </c>
    </row>
    <row r="31" spans="1:5" ht="30" customHeight="1">
      <c r="A31" s="13" t="s">
        <v>7</v>
      </c>
      <c r="B31" s="35" t="s">
        <v>108</v>
      </c>
      <c r="C31" s="39"/>
      <c r="D31" s="36" t="s">
        <v>111</v>
      </c>
      <c r="E31" s="40" t="s">
        <v>57</v>
      </c>
    </row>
    <row r="32" spans="1:5" ht="30" customHeight="1">
      <c r="A32" s="13" t="s">
        <v>15</v>
      </c>
      <c r="B32" s="35"/>
      <c r="C32" s="39"/>
      <c r="D32" s="36" t="s">
        <v>110</v>
      </c>
      <c r="E32" s="40" t="s">
        <v>66</v>
      </c>
    </row>
    <row r="33" spans="1:5" ht="30" customHeight="1" thickBot="1">
      <c r="A33" s="13" t="s">
        <v>8</v>
      </c>
      <c r="B33" s="35" t="s">
        <v>99</v>
      </c>
      <c r="C33" s="41"/>
      <c r="D33" s="42"/>
      <c r="E33" s="43"/>
    </row>
    <row r="34" spans="1:5" ht="30" customHeight="1">
      <c r="A34" s="13" t="s">
        <v>9</v>
      </c>
      <c r="B34" s="35" t="s">
        <v>83</v>
      </c>
      <c r="C34" s="4" t="s">
        <v>11</v>
      </c>
      <c r="D34" s="6">
        <v>50</v>
      </c>
      <c r="E34" s="44"/>
    </row>
    <row r="35" spans="1:5" ht="30" customHeight="1" thickBot="1">
      <c r="A35" s="14" t="s">
        <v>16</v>
      </c>
      <c r="B35" s="20" t="s">
        <v>17</v>
      </c>
      <c r="C35" s="5" t="s">
        <v>0</v>
      </c>
      <c r="D35" s="7">
        <f>IF(D34&lt;0,"valor del indicador fuera de rango",IF(D34&lt;=30,1,IF(D34&lt;=45,-0.00222*(D34^2)+(0.133*D34)-1,IF(D34&lt;=56,0.00222*(D34^2)-(0.267*D34)+8,"valor del indicador fuera rango"))))</f>
        <v>0.19999999999999929</v>
      </c>
      <c r="E35" s="45"/>
    </row>
    <row r="36" spans="1:5" ht="30" customHeight="1">
      <c r="A36" s="15" t="s">
        <v>14</v>
      </c>
      <c r="B36" s="3" t="s">
        <v>0</v>
      </c>
      <c r="C36" s="146" t="s">
        <v>13</v>
      </c>
      <c r="D36" s="144"/>
      <c r="E36" s="145"/>
    </row>
    <row r="37" spans="1:5" ht="12.95" customHeight="1">
      <c r="A37" s="28">
        <v>0</v>
      </c>
      <c r="B37" s="24">
        <v>1</v>
      </c>
      <c r="C37" s="47"/>
      <c r="D37" s="47"/>
      <c r="E37" s="48"/>
    </row>
    <row r="38" spans="1:5" ht="12.95" customHeight="1">
      <c r="A38" s="29">
        <v>5</v>
      </c>
      <c r="B38" s="24">
        <v>1</v>
      </c>
      <c r="C38" s="25"/>
      <c r="D38" s="47"/>
      <c r="E38" s="48"/>
    </row>
    <row r="39" spans="1:5" ht="12.95" customHeight="1">
      <c r="A39" s="29">
        <v>10</v>
      </c>
      <c r="B39" s="24">
        <v>1</v>
      </c>
      <c r="C39" s="25"/>
      <c r="D39" s="47"/>
      <c r="E39" s="48"/>
    </row>
    <row r="40" spans="1:5" ht="12.95" customHeight="1">
      <c r="A40" s="29">
        <v>15</v>
      </c>
      <c r="B40" s="24">
        <v>1</v>
      </c>
      <c r="C40" s="25"/>
      <c r="D40" s="47"/>
      <c r="E40" s="48"/>
    </row>
    <row r="41" spans="1:5" ht="12.95" customHeight="1">
      <c r="A41" s="29">
        <v>20</v>
      </c>
      <c r="B41" s="24">
        <v>1</v>
      </c>
      <c r="C41" s="25"/>
      <c r="D41" s="47"/>
      <c r="E41" s="48"/>
    </row>
    <row r="42" spans="1:5" ht="12.95" customHeight="1">
      <c r="A42" s="29">
        <v>25</v>
      </c>
      <c r="B42" s="24">
        <v>1</v>
      </c>
      <c r="C42" s="25"/>
      <c r="D42" s="47"/>
      <c r="E42" s="48"/>
    </row>
    <row r="43" spans="1:5" ht="12.95" customHeight="1">
      <c r="A43" s="29">
        <v>30</v>
      </c>
      <c r="B43" s="24">
        <v>1</v>
      </c>
      <c r="C43" s="25"/>
      <c r="D43" s="47"/>
      <c r="E43" s="48"/>
    </row>
    <row r="44" spans="1:5" ht="12.95" customHeight="1">
      <c r="A44" s="30">
        <v>32</v>
      </c>
      <c r="B44" s="26">
        <f>-0.00222*(A44^2)+(0.133*A44)-1</f>
        <v>0.98272000000000004</v>
      </c>
      <c r="C44" s="25"/>
      <c r="D44" s="47"/>
      <c r="E44" s="48"/>
    </row>
    <row r="45" spans="1:5" ht="12.95" customHeight="1">
      <c r="A45" s="30">
        <v>34</v>
      </c>
      <c r="B45" s="26">
        <f t="shared" ref="B45:B50" si="0">-0.00222*(A45^2)+(0.133*A45)-1</f>
        <v>0.95568000000000008</v>
      </c>
      <c r="C45" s="25"/>
      <c r="D45" s="47"/>
      <c r="E45" s="48"/>
    </row>
    <row r="46" spans="1:5" ht="12.95" customHeight="1">
      <c r="A46" s="30">
        <v>36</v>
      </c>
      <c r="B46" s="26">
        <f t="shared" si="0"/>
        <v>0.91088000000000013</v>
      </c>
      <c r="C46" s="25"/>
      <c r="D46" s="47"/>
      <c r="E46" s="48"/>
    </row>
    <row r="47" spans="1:5" ht="12.95" customHeight="1">
      <c r="A47" s="30">
        <v>38</v>
      </c>
      <c r="B47" s="26">
        <f t="shared" si="0"/>
        <v>0.84832000000000019</v>
      </c>
      <c r="C47" s="25"/>
      <c r="D47" s="47"/>
      <c r="E47" s="48"/>
    </row>
    <row r="48" spans="1:5" ht="12.95" customHeight="1">
      <c r="A48" s="30">
        <v>40</v>
      </c>
      <c r="B48" s="26">
        <f t="shared" si="0"/>
        <v>0.76799999999999979</v>
      </c>
      <c r="C48" s="25"/>
      <c r="D48" s="47"/>
      <c r="E48" s="48"/>
    </row>
    <row r="49" spans="1:5" ht="12.95" customHeight="1">
      <c r="A49" s="30">
        <v>42</v>
      </c>
      <c r="B49" s="26">
        <f t="shared" si="0"/>
        <v>0.66991999999999985</v>
      </c>
      <c r="C49" s="25"/>
      <c r="D49" s="47"/>
      <c r="E49" s="48"/>
    </row>
    <row r="50" spans="1:5" ht="12.95" customHeight="1">
      <c r="A50" s="30">
        <v>44</v>
      </c>
      <c r="B50" s="26">
        <f t="shared" si="0"/>
        <v>0.55407999999999991</v>
      </c>
      <c r="C50" s="25"/>
      <c r="D50" s="47"/>
      <c r="E50" s="48"/>
    </row>
    <row r="51" spans="1:5" ht="12.95" customHeight="1">
      <c r="A51" s="31">
        <v>46</v>
      </c>
      <c r="B51" s="27">
        <f t="shared" ref="B51:B56" si="1">0.00222*(A51^2)-(0.267*A51)+8</f>
        <v>0.41552000000000078</v>
      </c>
      <c r="C51" s="25"/>
      <c r="D51" s="47"/>
      <c r="E51" s="48"/>
    </row>
    <row r="52" spans="1:5" ht="12.95" customHeight="1">
      <c r="A52" s="31">
        <v>48</v>
      </c>
      <c r="B52" s="27">
        <f t="shared" si="1"/>
        <v>0.29887999999999959</v>
      </c>
      <c r="C52" s="25"/>
      <c r="D52" s="47"/>
      <c r="E52" s="48"/>
    </row>
    <row r="53" spans="1:5" ht="12.95" customHeight="1">
      <c r="A53" s="31">
        <v>50</v>
      </c>
      <c r="B53" s="27">
        <f t="shared" si="1"/>
        <v>0.19999999999999929</v>
      </c>
      <c r="C53" s="25"/>
      <c r="D53" s="47"/>
      <c r="E53" s="48"/>
    </row>
    <row r="54" spans="1:5" ht="12.95" customHeight="1">
      <c r="A54" s="31">
        <v>52</v>
      </c>
      <c r="B54" s="27">
        <f t="shared" si="1"/>
        <v>0.11887999999999987</v>
      </c>
      <c r="C54" s="25"/>
      <c r="D54" s="47"/>
      <c r="E54" s="48"/>
    </row>
    <row r="55" spans="1:5" ht="12.95" customHeight="1">
      <c r="A55" s="31">
        <v>54</v>
      </c>
      <c r="B55" s="27">
        <f t="shared" si="1"/>
        <v>5.551999999999957E-2</v>
      </c>
      <c r="C55" s="25"/>
      <c r="D55" s="47"/>
      <c r="E55" s="48"/>
    </row>
    <row r="56" spans="1:5" ht="12.95" customHeight="1" thickBot="1">
      <c r="A56" s="51">
        <v>56</v>
      </c>
      <c r="B56" s="52">
        <f t="shared" si="1"/>
        <v>9.9199999999992627E-3</v>
      </c>
      <c r="C56" s="53"/>
      <c r="D56" s="49"/>
      <c r="E56" s="50"/>
    </row>
    <row r="57" spans="1:5" ht="12.95" customHeight="1" thickTop="1"/>
    <row r="58" spans="1:5" ht="12.95" customHeight="1" thickBot="1"/>
    <row r="59" spans="1:5" ht="30" customHeight="1" thickTop="1">
      <c r="A59" s="8" t="s">
        <v>12</v>
      </c>
      <c r="B59" s="32">
        <v>26</v>
      </c>
      <c r="C59" s="10" t="s">
        <v>10</v>
      </c>
      <c r="D59" s="33" t="s">
        <v>109</v>
      </c>
      <c r="E59" s="34" t="s">
        <v>53</v>
      </c>
    </row>
    <row r="60" spans="1:5" ht="30" customHeight="1">
      <c r="A60" s="13" t="s">
        <v>7</v>
      </c>
      <c r="B60" s="35" t="s">
        <v>112</v>
      </c>
      <c r="C60" s="39"/>
      <c r="D60" s="36" t="s">
        <v>113</v>
      </c>
      <c r="E60" s="40" t="s">
        <v>115</v>
      </c>
    </row>
    <row r="61" spans="1:5" ht="30" customHeight="1">
      <c r="A61" s="13" t="s">
        <v>15</v>
      </c>
      <c r="B61" s="35"/>
      <c r="C61" s="39"/>
      <c r="D61" s="36" t="s">
        <v>114</v>
      </c>
      <c r="E61" s="40" t="s">
        <v>116</v>
      </c>
    </row>
    <row r="62" spans="1:5" ht="30" customHeight="1" thickBot="1">
      <c r="A62" s="13" t="s">
        <v>8</v>
      </c>
      <c r="B62" s="35" t="s">
        <v>99</v>
      </c>
      <c r="C62" s="41"/>
      <c r="D62" s="42"/>
      <c r="E62" s="43"/>
    </row>
    <row r="63" spans="1:5" ht="30" customHeight="1">
      <c r="A63" s="13" t="s">
        <v>9</v>
      </c>
      <c r="B63" s="35" t="s">
        <v>136</v>
      </c>
      <c r="C63" s="4" t="s">
        <v>11</v>
      </c>
      <c r="D63" s="6">
        <v>60</v>
      </c>
      <c r="E63" s="44"/>
    </row>
    <row r="64" spans="1:5" ht="30" customHeight="1" thickBot="1">
      <c r="A64" s="14" t="s">
        <v>16</v>
      </c>
      <c r="B64" s="20" t="s">
        <v>17</v>
      </c>
      <c r="C64" s="5" t="s">
        <v>0</v>
      </c>
      <c r="D64" s="7">
        <f>IF(D63&lt;0,"valor del indicador fuera de rango",IF(D63&lt;=35,1,IF(D63&lt;=50,-0.00222*(D63^2)+(0.156*D63)-1.72,IF(D63&lt;=62,0.00222*(D63^2)-(0.289*D63)+9.39,"valor del indicador fuera rango"))))</f>
        <v>4.2000000000001592E-2</v>
      </c>
      <c r="E64" s="45"/>
    </row>
    <row r="65" spans="1:5" ht="30" customHeight="1">
      <c r="A65" s="15" t="s">
        <v>14</v>
      </c>
      <c r="B65" s="3" t="s">
        <v>0</v>
      </c>
      <c r="C65" s="146" t="s">
        <v>13</v>
      </c>
      <c r="D65" s="144"/>
      <c r="E65" s="145"/>
    </row>
    <row r="66" spans="1:5" ht="12.95" customHeight="1">
      <c r="A66" s="28">
        <v>0</v>
      </c>
      <c r="B66" s="24">
        <v>1</v>
      </c>
      <c r="C66" s="47"/>
      <c r="D66" s="47"/>
      <c r="E66" s="48"/>
    </row>
    <row r="67" spans="1:5" ht="12.95" customHeight="1">
      <c r="A67" s="29">
        <v>5</v>
      </c>
      <c r="B67" s="24">
        <v>1</v>
      </c>
      <c r="C67" s="25"/>
      <c r="D67" s="47"/>
      <c r="E67" s="48"/>
    </row>
    <row r="68" spans="1:5" ht="12.95" customHeight="1">
      <c r="A68" s="29">
        <v>10</v>
      </c>
      <c r="B68" s="24">
        <v>1</v>
      </c>
      <c r="C68" s="25"/>
      <c r="D68" s="47"/>
      <c r="E68" s="48"/>
    </row>
    <row r="69" spans="1:5" ht="12.95" customHeight="1">
      <c r="A69" s="29">
        <v>15</v>
      </c>
      <c r="B69" s="24">
        <v>1</v>
      </c>
      <c r="C69" s="25"/>
      <c r="D69" s="47"/>
      <c r="E69" s="48"/>
    </row>
    <row r="70" spans="1:5" ht="12.95" customHeight="1">
      <c r="A70" s="29">
        <v>20</v>
      </c>
      <c r="B70" s="24">
        <v>1</v>
      </c>
      <c r="C70" s="25"/>
      <c r="D70" s="47"/>
      <c r="E70" s="48"/>
    </row>
    <row r="71" spans="1:5" ht="12.95" customHeight="1">
      <c r="A71" s="29">
        <v>25</v>
      </c>
      <c r="B71" s="24">
        <v>1</v>
      </c>
      <c r="C71" s="25"/>
      <c r="D71" s="47"/>
      <c r="E71" s="48"/>
    </row>
    <row r="72" spans="1:5" ht="12.95" customHeight="1">
      <c r="A72" s="29">
        <v>30</v>
      </c>
      <c r="B72" s="24">
        <v>1</v>
      </c>
      <c r="C72" s="25"/>
      <c r="D72" s="47"/>
      <c r="E72" s="48"/>
    </row>
    <row r="73" spans="1:5" ht="12.95" customHeight="1">
      <c r="A73" s="30">
        <v>36</v>
      </c>
      <c r="B73" s="26">
        <f t="shared" ref="B73:B79" si="2">-0.00222*(A73^2)+(0.156*A73)-1.72</f>
        <v>1.0188799999999996</v>
      </c>
      <c r="C73" s="25"/>
      <c r="D73" s="47"/>
      <c r="E73" s="48"/>
    </row>
    <row r="74" spans="1:5" ht="12.95" customHeight="1">
      <c r="A74" s="30">
        <v>38</v>
      </c>
      <c r="B74" s="26">
        <f t="shared" si="2"/>
        <v>1.0023199999999999</v>
      </c>
      <c r="C74" s="25"/>
      <c r="D74" s="47"/>
      <c r="E74" s="48"/>
    </row>
    <row r="75" spans="1:5" ht="12.95" customHeight="1">
      <c r="A75" s="30">
        <v>40</v>
      </c>
      <c r="B75" s="26">
        <f t="shared" si="2"/>
        <v>0.96799999999999975</v>
      </c>
      <c r="C75" s="25"/>
      <c r="D75" s="47"/>
      <c r="E75" s="48"/>
    </row>
    <row r="76" spans="1:5" ht="12.95" customHeight="1">
      <c r="A76" s="30">
        <v>42</v>
      </c>
      <c r="B76" s="26">
        <f t="shared" si="2"/>
        <v>0.91591999999999918</v>
      </c>
      <c r="C76" s="25"/>
      <c r="D76" s="47"/>
      <c r="E76" s="48"/>
    </row>
    <row r="77" spans="1:5" ht="12.95" customHeight="1">
      <c r="A77" s="30">
        <v>44</v>
      </c>
      <c r="B77" s="26">
        <f t="shared" si="2"/>
        <v>0.8460799999999995</v>
      </c>
      <c r="C77" s="25"/>
      <c r="D77" s="47"/>
      <c r="E77" s="48"/>
    </row>
    <row r="78" spans="1:5" ht="12.95" customHeight="1">
      <c r="A78" s="30">
        <v>46</v>
      </c>
      <c r="B78" s="26">
        <f t="shared" si="2"/>
        <v>0.75847999999999938</v>
      </c>
      <c r="C78" s="25"/>
      <c r="D78" s="47"/>
      <c r="E78" s="48"/>
    </row>
    <row r="79" spans="1:5" ht="12.95" customHeight="1">
      <c r="A79" s="30">
        <v>48</v>
      </c>
      <c r="B79" s="26">
        <f t="shared" si="2"/>
        <v>0.65311999999999926</v>
      </c>
      <c r="C79" s="25"/>
      <c r="D79" s="47"/>
      <c r="E79" s="48"/>
    </row>
    <row r="80" spans="1:5" ht="12.95" customHeight="1">
      <c r="A80" s="30">
        <v>50</v>
      </c>
      <c r="B80" s="26">
        <f>-0.00222*(A80^2)+(0.156*A80)-1.72</f>
        <v>0.52999999999999914</v>
      </c>
      <c r="C80" s="25"/>
      <c r="D80" s="47"/>
      <c r="E80" s="48"/>
    </row>
    <row r="81" spans="1:5" ht="12.95" customHeight="1">
      <c r="A81" s="31">
        <v>52</v>
      </c>
      <c r="B81" s="27">
        <f>0.00222*(A81^2)-(0.289*A81)+9.39</f>
        <v>0.36488000000000298</v>
      </c>
      <c r="C81" s="25"/>
      <c r="D81" s="47"/>
      <c r="E81" s="48"/>
    </row>
    <row r="82" spans="1:5" ht="12.95" customHeight="1">
      <c r="A82" s="31">
        <v>56</v>
      </c>
      <c r="B82" s="27">
        <f>0.00222*(A82^2)-(0.289*A82)+9.39</f>
        <v>0.16792000000000407</v>
      </c>
      <c r="C82" s="25"/>
      <c r="D82" s="47"/>
      <c r="E82" s="48"/>
    </row>
    <row r="83" spans="1:5" ht="12.95" customHeight="1">
      <c r="A83" s="31">
        <f>+A82+2</f>
        <v>58</v>
      </c>
      <c r="B83" s="27">
        <f>0.00222*(A83^2)-(0.289*A83)+9.39</f>
        <v>9.6080000000000609E-2</v>
      </c>
      <c r="C83" s="25"/>
      <c r="D83" s="47"/>
      <c r="E83" s="48"/>
    </row>
    <row r="84" spans="1:5" ht="12.95" customHeight="1">
      <c r="A84" s="31">
        <f>+A83+2</f>
        <v>60</v>
      </c>
      <c r="B84" s="27">
        <f>0.00222*(A84^2)-(0.289*A84)+9.39</f>
        <v>4.2000000000001592E-2</v>
      </c>
      <c r="C84" s="25"/>
      <c r="D84" s="47"/>
      <c r="E84" s="48"/>
    </row>
    <row r="85" spans="1:5" ht="12.95" customHeight="1">
      <c r="A85" s="31">
        <f>+A84+2</f>
        <v>62</v>
      </c>
      <c r="B85" s="27">
        <f>0.00222*(A85^2)-(0.289*A85)+9.39</f>
        <v>5.6800000000016837E-3</v>
      </c>
      <c r="C85" s="25"/>
      <c r="D85" s="47"/>
      <c r="E85" s="48"/>
    </row>
    <row r="87" spans="1:5" ht="12.95" customHeight="1" thickBot="1"/>
    <row r="88" spans="1:5" ht="30" customHeight="1" thickTop="1">
      <c r="A88" s="8" t="s">
        <v>12</v>
      </c>
      <c r="B88" s="32">
        <v>27</v>
      </c>
      <c r="C88" s="10" t="s">
        <v>10</v>
      </c>
      <c r="D88" s="33" t="s">
        <v>109</v>
      </c>
      <c r="E88" s="34" t="s">
        <v>53</v>
      </c>
    </row>
    <row r="89" spans="1:5" ht="30" customHeight="1">
      <c r="A89" s="13" t="s">
        <v>7</v>
      </c>
      <c r="B89" s="35" t="s">
        <v>117</v>
      </c>
      <c r="C89" s="39"/>
      <c r="D89" s="36" t="s">
        <v>118</v>
      </c>
      <c r="E89" s="40" t="s">
        <v>59</v>
      </c>
    </row>
    <row r="90" spans="1:5" ht="30" customHeight="1">
      <c r="A90" s="13" t="s">
        <v>15</v>
      </c>
      <c r="B90" s="35"/>
      <c r="C90" s="39"/>
      <c r="D90" s="36" t="s">
        <v>119</v>
      </c>
      <c r="E90" s="40" t="s">
        <v>68</v>
      </c>
    </row>
    <row r="91" spans="1:5" ht="30" customHeight="1" thickBot="1">
      <c r="A91" s="13" t="s">
        <v>8</v>
      </c>
      <c r="B91" s="35" t="s">
        <v>99</v>
      </c>
      <c r="C91" s="41"/>
      <c r="D91" s="42"/>
      <c r="E91" s="43"/>
    </row>
    <row r="92" spans="1:5" ht="30" customHeight="1">
      <c r="A92" s="13" t="s">
        <v>9</v>
      </c>
      <c r="B92" s="35" t="s">
        <v>84</v>
      </c>
      <c r="C92" s="4" t="s">
        <v>11</v>
      </c>
      <c r="D92" s="6">
        <v>58</v>
      </c>
      <c r="E92" s="44"/>
    </row>
    <row r="93" spans="1:5" ht="30" customHeight="1" thickBot="1">
      <c r="A93" s="14" t="s">
        <v>16</v>
      </c>
      <c r="B93" s="20" t="s">
        <v>17</v>
      </c>
      <c r="C93" s="5" t="s">
        <v>0</v>
      </c>
      <c r="D93" s="7">
        <f>IF(D92&lt;0,"valor del indicador fuera de rango",IF(D92&lt;=35,1,IF(D92&lt;=52.5,-0.00163*(D92^2)+(0.114*D92)-1,IF(D92&lt;=65,0.00163*(D92^2)-(0.229*D92)+8,"valor del indicador fuera rango"))))</f>
        <v>0.20131999999999994</v>
      </c>
      <c r="E93" s="45"/>
    </row>
    <row r="94" spans="1:5" ht="30" customHeight="1">
      <c r="A94" s="15" t="s">
        <v>14</v>
      </c>
      <c r="B94" s="3" t="s">
        <v>0</v>
      </c>
      <c r="C94" s="146" t="s">
        <v>13</v>
      </c>
      <c r="D94" s="144"/>
      <c r="E94" s="145"/>
    </row>
    <row r="95" spans="1:5" ht="12.95" customHeight="1">
      <c r="A95" s="29">
        <v>0</v>
      </c>
      <c r="B95" s="104">
        <v>1</v>
      </c>
      <c r="C95" s="47"/>
      <c r="D95" s="47"/>
      <c r="E95" s="48"/>
    </row>
    <row r="96" spans="1:5" ht="12.95" customHeight="1">
      <c r="A96" s="29">
        <v>5</v>
      </c>
      <c r="B96" s="135">
        <v>1</v>
      </c>
      <c r="C96" s="25"/>
      <c r="D96" s="47"/>
      <c r="E96" s="48"/>
    </row>
    <row r="97" spans="1:5" ht="12.95" customHeight="1">
      <c r="A97" s="29">
        <v>10</v>
      </c>
      <c r="B97" s="135">
        <v>1</v>
      </c>
      <c r="C97" s="25"/>
      <c r="D97" s="47"/>
      <c r="E97" s="48"/>
    </row>
    <row r="98" spans="1:5" ht="12.95" customHeight="1">
      <c r="A98" s="29">
        <v>15</v>
      </c>
      <c r="B98" s="135">
        <v>1</v>
      </c>
      <c r="C98" s="25"/>
      <c r="D98" s="47"/>
      <c r="E98" s="48"/>
    </row>
    <row r="99" spans="1:5" ht="12.95" customHeight="1">
      <c r="A99" s="29">
        <v>20</v>
      </c>
      <c r="B99" s="135">
        <v>1</v>
      </c>
      <c r="C99" s="25"/>
      <c r="D99" s="47"/>
      <c r="E99" s="48"/>
    </row>
    <row r="100" spans="1:5" ht="12.95" customHeight="1">
      <c r="A100" s="29">
        <v>25</v>
      </c>
      <c r="B100" s="135">
        <v>1</v>
      </c>
      <c r="C100" s="25"/>
      <c r="D100" s="47"/>
      <c r="E100" s="48"/>
    </row>
    <row r="101" spans="1:5" ht="12.95" customHeight="1">
      <c r="A101" s="29">
        <v>30</v>
      </c>
      <c r="B101" s="135">
        <v>1</v>
      </c>
      <c r="C101" s="25"/>
      <c r="D101" s="47"/>
      <c r="E101" s="48"/>
    </row>
    <row r="102" spans="1:5" ht="12.95" customHeight="1">
      <c r="A102" s="30">
        <v>36</v>
      </c>
      <c r="B102" s="136">
        <f>-0.00163*(A102^2)+(0.114*A102)-1</f>
        <v>0.99151999999999996</v>
      </c>
      <c r="C102" s="25"/>
      <c r="D102" s="47"/>
      <c r="E102" s="48"/>
    </row>
    <row r="103" spans="1:5" ht="12.95" customHeight="1">
      <c r="A103" s="30">
        <v>38</v>
      </c>
      <c r="B103" s="136">
        <f t="shared" ref="B103:B109" si="3">-0.00163*(A103^2)+(0.114*A103)-1</f>
        <v>0.97827999999999982</v>
      </c>
      <c r="C103" s="25"/>
      <c r="D103" s="47"/>
      <c r="E103" s="48"/>
    </row>
    <row r="104" spans="1:5" ht="12.95" customHeight="1">
      <c r="A104" s="30">
        <v>40</v>
      </c>
      <c r="B104" s="136">
        <f t="shared" si="3"/>
        <v>0.9520000000000004</v>
      </c>
      <c r="C104" s="25"/>
      <c r="D104" s="47"/>
      <c r="E104" s="48"/>
    </row>
    <row r="105" spans="1:5" ht="12.95" customHeight="1">
      <c r="A105" s="30">
        <v>42</v>
      </c>
      <c r="B105" s="136">
        <f t="shared" si="3"/>
        <v>0.91268000000000038</v>
      </c>
      <c r="C105" s="25"/>
      <c r="D105" s="47"/>
      <c r="E105" s="48"/>
    </row>
    <row r="106" spans="1:5" ht="12.95" customHeight="1">
      <c r="A106" s="30">
        <v>44</v>
      </c>
      <c r="B106" s="136">
        <f t="shared" si="3"/>
        <v>0.8603200000000002</v>
      </c>
      <c r="C106" s="25"/>
      <c r="D106" s="47"/>
      <c r="E106" s="48"/>
    </row>
    <row r="107" spans="1:5" ht="12.95" customHeight="1">
      <c r="A107" s="30">
        <v>46</v>
      </c>
      <c r="B107" s="136">
        <f t="shared" si="3"/>
        <v>0.79491999999999985</v>
      </c>
      <c r="C107" s="25"/>
      <c r="D107" s="47"/>
      <c r="E107" s="48"/>
    </row>
    <row r="108" spans="1:5" ht="12.95" customHeight="1">
      <c r="A108" s="30">
        <v>48</v>
      </c>
      <c r="B108" s="136">
        <f t="shared" si="3"/>
        <v>0.71648000000000067</v>
      </c>
      <c r="C108" s="25"/>
      <c r="D108" s="47"/>
      <c r="E108" s="48"/>
    </row>
    <row r="109" spans="1:5" ht="12.95" customHeight="1">
      <c r="A109" s="30">
        <v>50</v>
      </c>
      <c r="B109" s="136">
        <f t="shared" si="3"/>
        <v>0.625</v>
      </c>
      <c r="C109" s="25"/>
      <c r="D109" s="47"/>
      <c r="E109" s="48"/>
    </row>
    <row r="110" spans="1:5" ht="12.95" customHeight="1">
      <c r="A110" s="31">
        <v>52</v>
      </c>
      <c r="B110" s="137">
        <f>0.00163*(A110^2)-(0.229*A110)+8</f>
        <v>0.49951999999999863</v>
      </c>
      <c r="C110" s="25"/>
      <c r="D110" s="47"/>
      <c r="E110" s="48"/>
    </row>
    <row r="111" spans="1:5" ht="12.95" customHeight="1">
      <c r="A111" s="31">
        <v>56</v>
      </c>
      <c r="B111" s="137">
        <f>0.00163*(A111^2)-(0.229*A111)+8</f>
        <v>0.28767999999999994</v>
      </c>
      <c r="C111" s="25"/>
      <c r="D111" s="47"/>
      <c r="E111" s="48"/>
    </row>
    <row r="112" spans="1:5" ht="12.95" customHeight="1">
      <c r="A112" s="31">
        <f>+A111+2</f>
        <v>58</v>
      </c>
      <c r="B112" s="137">
        <f>0.00163*(A112^2)-(0.229*A112)+8</f>
        <v>0.20131999999999994</v>
      </c>
      <c r="C112" s="25"/>
      <c r="D112" s="47"/>
      <c r="E112" s="48"/>
    </row>
    <row r="113" spans="1:5" ht="12.95" customHeight="1">
      <c r="A113" s="31">
        <f>+A112+2</f>
        <v>60</v>
      </c>
      <c r="B113" s="137">
        <f>0.00163*(A113^2)-(0.229*A113)+8</f>
        <v>0.12799999999999923</v>
      </c>
      <c r="C113" s="25"/>
      <c r="D113" s="47"/>
      <c r="E113" s="48"/>
    </row>
    <row r="114" spans="1:5" ht="12.95" customHeight="1" thickBot="1">
      <c r="A114" s="51">
        <v>65</v>
      </c>
      <c r="B114" s="138">
        <f>0.00163*(A114^2)-(0.229*A114)+8</f>
        <v>1.7500000000003624E-3</v>
      </c>
      <c r="C114" s="53"/>
      <c r="D114" s="49"/>
      <c r="E114" s="50"/>
    </row>
    <row r="115" spans="1:5" ht="12.95" customHeight="1" thickTop="1"/>
    <row r="116" spans="1:5" ht="12.95" customHeight="1" thickBot="1"/>
    <row r="117" spans="1:5" ht="30" customHeight="1" thickTop="1">
      <c r="A117" s="8" t="s">
        <v>12</v>
      </c>
      <c r="B117" s="32">
        <v>28</v>
      </c>
      <c r="C117" s="10" t="s">
        <v>10</v>
      </c>
      <c r="D117" s="33" t="s">
        <v>109</v>
      </c>
      <c r="E117" s="34" t="s">
        <v>52</v>
      </c>
    </row>
    <row r="118" spans="1:5" ht="30" customHeight="1">
      <c r="A118" s="13" t="s">
        <v>7</v>
      </c>
      <c r="B118" s="35" t="s">
        <v>120</v>
      </c>
      <c r="C118" s="39"/>
      <c r="D118" s="36" t="s">
        <v>118</v>
      </c>
      <c r="E118" s="40" t="s">
        <v>121</v>
      </c>
    </row>
    <row r="119" spans="1:5" ht="30" customHeight="1">
      <c r="A119" s="13" t="s">
        <v>15</v>
      </c>
      <c r="B119" s="35"/>
      <c r="C119" s="39"/>
      <c r="D119" s="36" t="s">
        <v>119</v>
      </c>
      <c r="E119" s="40" t="s">
        <v>122</v>
      </c>
    </row>
    <row r="120" spans="1:5" ht="30" customHeight="1" thickBot="1">
      <c r="A120" s="13" t="s">
        <v>8</v>
      </c>
      <c r="B120" s="35" t="s">
        <v>99</v>
      </c>
      <c r="C120" s="41"/>
      <c r="D120" s="42"/>
      <c r="E120" s="43"/>
    </row>
    <row r="121" spans="1:5" ht="30" customHeight="1">
      <c r="A121" s="13" t="s">
        <v>9</v>
      </c>
      <c r="B121" s="35" t="s">
        <v>137</v>
      </c>
      <c r="C121" s="4" t="s">
        <v>11</v>
      </c>
      <c r="D121" s="6">
        <v>58</v>
      </c>
      <c r="E121" s="44"/>
    </row>
    <row r="122" spans="1:5" ht="30" customHeight="1" thickBot="1">
      <c r="A122" s="14" t="s">
        <v>16</v>
      </c>
      <c r="B122" s="20" t="s">
        <v>17</v>
      </c>
      <c r="C122" s="5" t="s">
        <v>0</v>
      </c>
      <c r="D122" s="7">
        <f>IF(D121&lt;0,"valor del indicador fuera de rango",IF(D121&lt;=30,1,IF(D121&lt;=57.5,-0.000661*(D121^2)+(0.0397*D121)+0.405,IF(D121&lt;=85,0.000661*(D121^2)-(0.112*D121)+4.78,"valor del indicador fuera rango"))))</f>
        <v>0.50760399999999972</v>
      </c>
      <c r="E122" s="45"/>
    </row>
    <row r="123" spans="1:5" ht="30" customHeight="1">
      <c r="A123" s="15" t="s">
        <v>14</v>
      </c>
      <c r="B123" s="3" t="s">
        <v>0</v>
      </c>
      <c r="C123" s="146" t="s">
        <v>13</v>
      </c>
      <c r="D123" s="144"/>
      <c r="E123" s="145"/>
    </row>
    <row r="124" spans="1:5" ht="12.95" customHeight="1">
      <c r="A124" s="113">
        <v>0</v>
      </c>
      <c r="B124" s="24">
        <v>1</v>
      </c>
      <c r="C124" s="47"/>
      <c r="D124" s="47"/>
      <c r="E124" s="48"/>
    </row>
    <row r="125" spans="1:5" ht="12.95" customHeight="1">
      <c r="A125" s="114">
        <v>10</v>
      </c>
      <c r="B125" s="24">
        <v>1</v>
      </c>
      <c r="C125" s="25"/>
      <c r="D125" s="47"/>
      <c r="E125" s="48"/>
    </row>
    <row r="126" spans="1:5" ht="12.95" customHeight="1">
      <c r="A126" s="114">
        <v>20</v>
      </c>
      <c r="B126" s="24">
        <v>1</v>
      </c>
      <c r="C126" s="25"/>
      <c r="D126" s="47"/>
      <c r="E126" s="48"/>
    </row>
    <row r="127" spans="1:5" ht="12.95" customHeight="1">
      <c r="A127" s="114">
        <v>30</v>
      </c>
      <c r="B127" s="24">
        <v>1</v>
      </c>
      <c r="C127" s="25"/>
      <c r="D127" s="47"/>
      <c r="E127" s="48"/>
    </row>
    <row r="128" spans="1:5" ht="12.95" customHeight="1">
      <c r="A128" s="115">
        <v>35</v>
      </c>
      <c r="B128" s="26">
        <f>-0.000661*(A128^2)+(0.0397*A128)+0.405</f>
        <v>0.98477499999999996</v>
      </c>
      <c r="C128" s="25"/>
      <c r="D128" s="47"/>
      <c r="E128" s="48"/>
    </row>
    <row r="129" spans="1:5" ht="12.95" customHeight="1">
      <c r="A129" s="115">
        <v>37</v>
      </c>
      <c r="B129" s="26">
        <f t="shared" ref="B129:B137" si="4">-0.000661*(A129^2)+(0.0397*A129)+0.405</f>
        <v>0.96899099999999982</v>
      </c>
      <c r="C129" s="25"/>
      <c r="D129" s="47"/>
      <c r="E129" s="48"/>
    </row>
    <row r="130" spans="1:5" ht="12.95" customHeight="1">
      <c r="A130" s="115">
        <v>40</v>
      </c>
      <c r="B130" s="26">
        <f t="shared" si="4"/>
        <v>0.93540000000000001</v>
      </c>
      <c r="C130" s="25"/>
      <c r="D130" s="47"/>
      <c r="E130" s="48"/>
    </row>
    <row r="131" spans="1:5" ht="12.95" customHeight="1">
      <c r="A131" s="115">
        <v>42</v>
      </c>
      <c r="B131" s="26">
        <f t="shared" si="4"/>
        <v>0.90639599999999998</v>
      </c>
      <c r="C131" s="25"/>
      <c r="D131" s="47"/>
      <c r="E131" s="48"/>
    </row>
    <row r="132" spans="1:5" ht="12.95" customHeight="1">
      <c r="A132" s="115">
        <v>45</v>
      </c>
      <c r="B132" s="26">
        <f t="shared" si="4"/>
        <v>0.85297500000000004</v>
      </c>
      <c r="C132" s="25"/>
      <c r="D132" s="47"/>
      <c r="E132" s="48"/>
    </row>
    <row r="133" spans="1:5" ht="12.95" customHeight="1">
      <c r="A133" s="115">
        <v>47</v>
      </c>
      <c r="B133" s="26">
        <f t="shared" si="4"/>
        <v>0.81075099999999978</v>
      </c>
      <c r="C133" s="25"/>
      <c r="D133" s="47"/>
      <c r="E133" s="48"/>
    </row>
    <row r="134" spans="1:5" ht="12.95" customHeight="1">
      <c r="A134" s="115">
        <v>50</v>
      </c>
      <c r="B134" s="26">
        <f t="shared" si="4"/>
        <v>0.73749999999999982</v>
      </c>
      <c r="C134" s="25"/>
      <c r="D134" s="47"/>
      <c r="E134" s="48"/>
    </row>
    <row r="135" spans="1:5" ht="12.95" customHeight="1">
      <c r="A135" s="115">
        <v>52</v>
      </c>
      <c r="B135" s="26">
        <f t="shared" si="4"/>
        <v>0.682056</v>
      </c>
      <c r="C135" s="25"/>
      <c r="D135" s="47"/>
      <c r="E135" s="48"/>
    </row>
    <row r="136" spans="1:5" ht="12.95" customHeight="1">
      <c r="A136" s="115">
        <v>55</v>
      </c>
      <c r="B136" s="26">
        <f t="shared" si="4"/>
        <v>0.58897500000000003</v>
      </c>
      <c r="C136" s="25"/>
      <c r="D136" s="47"/>
      <c r="E136" s="48"/>
    </row>
    <row r="137" spans="1:5" ht="12.95" customHeight="1">
      <c r="A137" s="115">
        <v>57</v>
      </c>
      <c r="B137" s="26">
        <f t="shared" si="4"/>
        <v>0.52031100000000019</v>
      </c>
      <c r="C137" s="25"/>
      <c r="D137" s="47"/>
      <c r="E137" s="48"/>
    </row>
    <row r="138" spans="1:5" ht="12.95" customHeight="1">
      <c r="A138" s="117">
        <v>60</v>
      </c>
      <c r="B138" s="27">
        <f t="shared" ref="B138:B146" si="5">0.000661*(A138^2)-(0.112*A138)+4.78</f>
        <v>0.43960000000000043</v>
      </c>
      <c r="C138" s="25"/>
      <c r="D138" s="47"/>
      <c r="E138" s="48"/>
    </row>
    <row r="139" spans="1:5" ht="12.95" customHeight="1">
      <c r="A139" s="117">
        <v>62</v>
      </c>
      <c r="B139" s="27">
        <f t="shared" si="5"/>
        <v>0.37688400000000044</v>
      </c>
      <c r="C139" s="25"/>
      <c r="D139" s="47"/>
      <c r="E139" s="48"/>
    </row>
    <row r="140" spans="1:5" ht="12.95" customHeight="1">
      <c r="A140" s="117">
        <v>65</v>
      </c>
      <c r="B140" s="27">
        <f t="shared" si="5"/>
        <v>0.2927249999999999</v>
      </c>
      <c r="C140" s="25"/>
      <c r="D140" s="47"/>
      <c r="E140" s="48"/>
    </row>
    <row r="141" spans="1:5" ht="12.95" customHeight="1">
      <c r="A141" s="117">
        <v>67</v>
      </c>
      <c r="B141" s="27">
        <f t="shared" si="5"/>
        <v>0.24322900000000036</v>
      </c>
      <c r="C141" s="25"/>
      <c r="D141" s="47"/>
      <c r="E141" s="48"/>
    </row>
    <row r="142" spans="1:5" ht="12.95" customHeight="1">
      <c r="A142" s="117">
        <v>70</v>
      </c>
      <c r="B142" s="27">
        <f t="shared" si="5"/>
        <v>0.1789000000000005</v>
      </c>
      <c r="C142" s="25"/>
      <c r="D142" s="47"/>
      <c r="E142" s="48"/>
    </row>
    <row r="143" spans="1:5" ht="12.95" customHeight="1">
      <c r="A143" s="117">
        <v>72</v>
      </c>
      <c r="B143" s="27">
        <f t="shared" si="5"/>
        <v>0.14262400000000053</v>
      </c>
      <c r="C143" s="25"/>
      <c r="D143" s="47"/>
      <c r="E143" s="48"/>
    </row>
    <row r="144" spans="1:5" ht="12.95" customHeight="1">
      <c r="A144" s="117">
        <v>75</v>
      </c>
      <c r="B144" s="27">
        <f t="shared" si="5"/>
        <v>9.8125000000000462E-2</v>
      </c>
      <c r="C144" s="25"/>
      <c r="D144" s="47"/>
      <c r="E144" s="48"/>
    </row>
    <row r="145" spans="1:5" ht="12.95" customHeight="1">
      <c r="A145" s="117">
        <v>80</v>
      </c>
      <c r="B145" s="27">
        <f t="shared" si="5"/>
        <v>5.0399999999999778E-2</v>
      </c>
      <c r="C145" s="25"/>
      <c r="D145" s="47"/>
      <c r="E145" s="48"/>
    </row>
    <row r="146" spans="1:5" ht="12.95" customHeight="1" thickBot="1">
      <c r="A146" s="119">
        <v>85</v>
      </c>
      <c r="B146" s="52">
        <f t="shared" si="5"/>
        <v>3.5725000000001117E-2</v>
      </c>
      <c r="C146" s="53"/>
      <c r="D146" s="49"/>
      <c r="E146" s="50"/>
    </row>
    <row r="147" spans="1:5" ht="12.95" customHeight="1" thickTop="1"/>
    <row r="148" spans="1:5" ht="12.95" customHeight="1" thickBot="1"/>
    <row r="149" spans="1:5" ht="30" customHeight="1" thickTop="1">
      <c r="A149" s="8" t="s">
        <v>12</v>
      </c>
      <c r="B149" s="32">
        <v>29</v>
      </c>
      <c r="C149" s="10" t="s">
        <v>10</v>
      </c>
      <c r="D149" s="33" t="s">
        <v>109</v>
      </c>
      <c r="E149" s="34" t="s">
        <v>52</v>
      </c>
    </row>
    <row r="150" spans="1:5" ht="30" customHeight="1">
      <c r="A150" s="13" t="s">
        <v>7</v>
      </c>
      <c r="B150" s="35" t="s">
        <v>129</v>
      </c>
      <c r="C150" s="39"/>
      <c r="D150" s="36" t="s">
        <v>130</v>
      </c>
      <c r="E150" s="40" t="s">
        <v>121</v>
      </c>
    </row>
    <row r="151" spans="1:5" ht="30" customHeight="1">
      <c r="A151" s="13" t="s">
        <v>15</v>
      </c>
      <c r="B151" s="35"/>
      <c r="C151" s="39"/>
      <c r="D151" s="36" t="s">
        <v>131</v>
      </c>
      <c r="E151" s="40" t="s">
        <v>122</v>
      </c>
    </row>
    <row r="152" spans="1:5" ht="30" customHeight="1" thickBot="1">
      <c r="A152" s="13" t="s">
        <v>8</v>
      </c>
      <c r="B152" s="35" t="s">
        <v>99</v>
      </c>
      <c r="C152" s="41"/>
      <c r="D152" s="42"/>
      <c r="E152" s="43"/>
    </row>
    <row r="153" spans="1:5" ht="30" customHeight="1">
      <c r="A153" s="13" t="s">
        <v>9</v>
      </c>
      <c r="B153" s="35" t="s">
        <v>137</v>
      </c>
      <c r="C153" s="4" t="s">
        <v>11</v>
      </c>
      <c r="D153" s="6">
        <v>35</v>
      </c>
      <c r="E153" s="44"/>
    </row>
    <row r="154" spans="1:5" ht="30" customHeight="1" thickBot="1">
      <c r="A154" s="14" t="s">
        <v>16</v>
      </c>
      <c r="B154" s="20" t="s">
        <v>17</v>
      </c>
      <c r="C154" s="5" t="s">
        <v>0</v>
      </c>
      <c r="D154" s="7">
        <f>IF(D153&lt;0,"valor del indicador fuera de rango",IF(D153&lt;=30,1,IF(D153&lt;=57.5,-0.000661*(D153^2)+(0.0397*D153)+0.405,IF(D153&lt;=85,0.000661*(D153^2)-(0.112*D153)+4.78,"valor del indicador fuera rango"))))</f>
        <v>0.98477499999999996</v>
      </c>
      <c r="E154" s="45"/>
    </row>
    <row r="155" spans="1:5" ht="30" customHeight="1">
      <c r="A155" s="15" t="s">
        <v>14</v>
      </c>
      <c r="B155" s="3" t="s">
        <v>0</v>
      </c>
      <c r="C155" s="146" t="s">
        <v>13</v>
      </c>
      <c r="D155" s="144"/>
      <c r="E155" s="145"/>
    </row>
    <row r="156" spans="1:5" ht="12.95" customHeight="1">
      <c r="A156" s="113">
        <v>0</v>
      </c>
      <c r="B156" s="24">
        <v>1</v>
      </c>
      <c r="C156" s="47"/>
      <c r="D156" s="47"/>
      <c r="E156" s="48"/>
    </row>
    <row r="157" spans="1:5" ht="12.95" customHeight="1">
      <c r="A157" s="114">
        <v>10</v>
      </c>
      <c r="B157" s="24">
        <v>1</v>
      </c>
      <c r="C157" s="25"/>
      <c r="D157" s="47"/>
      <c r="E157" s="48"/>
    </row>
    <row r="158" spans="1:5" ht="12.95" customHeight="1">
      <c r="A158" s="114">
        <v>20</v>
      </c>
      <c r="B158" s="24">
        <v>1</v>
      </c>
      <c r="C158" s="25"/>
      <c r="D158" s="47"/>
      <c r="E158" s="48"/>
    </row>
    <row r="159" spans="1:5" ht="12.95" customHeight="1">
      <c r="A159" s="114">
        <v>30</v>
      </c>
      <c r="B159" s="24">
        <v>1</v>
      </c>
      <c r="C159" s="25"/>
      <c r="D159" s="47"/>
      <c r="E159" s="48"/>
    </row>
    <row r="160" spans="1:5" ht="12.95" customHeight="1">
      <c r="A160" s="115">
        <v>35</v>
      </c>
      <c r="B160" s="26">
        <f>-0.000661*(A160^2)+(0.0397*A160)+0.405</f>
        <v>0.98477499999999996</v>
      </c>
      <c r="C160" s="25"/>
      <c r="D160" s="47"/>
      <c r="E160" s="48"/>
    </row>
    <row r="161" spans="1:5" ht="12.95" customHeight="1">
      <c r="A161" s="115">
        <v>37</v>
      </c>
      <c r="B161" s="26">
        <f t="shared" ref="B161:B168" si="6">-0.000661*(A161^2)+(0.0397*A161)+0.405</f>
        <v>0.96899099999999982</v>
      </c>
      <c r="C161" s="25"/>
      <c r="D161" s="47"/>
      <c r="E161" s="48"/>
    </row>
    <row r="162" spans="1:5" ht="12.95" customHeight="1">
      <c r="A162" s="115">
        <v>40</v>
      </c>
      <c r="B162" s="26">
        <f t="shared" si="6"/>
        <v>0.93540000000000001</v>
      </c>
      <c r="C162" s="25"/>
      <c r="D162" s="47"/>
      <c r="E162" s="48"/>
    </row>
    <row r="163" spans="1:5" ht="12.95" customHeight="1">
      <c r="A163" s="115">
        <v>42</v>
      </c>
      <c r="B163" s="26">
        <f t="shared" si="6"/>
        <v>0.90639599999999998</v>
      </c>
      <c r="C163" s="25"/>
      <c r="D163" s="47"/>
      <c r="E163" s="48"/>
    </row>
    <row r="164" spans="1:5" ht="12.95" customHeight="1">
      <c r="A164" s="115">
        <v>45</v>
      </c>
      <c r="B164" s="26">
        <f t="shared" si="6"/>
        <v>0.85297500000000004</v>
      </c>
      <c r="C164" s="25"/>
      <c r="D164" s="47"/>
      <c r="E164" s="48"/>
    </row>
    <row r="165" spans="1:5" ht="12.95" customHeight="1">
      <c r="A165" s="115">
        <v>47</v>
      </c>
      <c r="B165" s="26">
        <f t="shared" si="6"/>
        <v>0.81075099999999978</v>
      </c>
      <c r="C165" s="25"/>
      <c r="D165" s="47"/>
      <c r="E165" s="48"/>
    </row>
    <row r="166" spans="1:5" ht="12.95" customHeight="1">
      <c r="A166" s="115">
        <v>50</v>
      </c>
      <c r="B166" s="26">
        <f t="shared" si="6"/>
        <v>0.73749999999999982</v>
      </c>
      <c r="C166" s="25"/>
      <c r="D166" s="47"/>
      <c r="E166" s="48"/>
    </row>
    <row r="167" spans="1:5" ht="12.95" customHeight="1">
      <c r="A167" s="115">
        <v>52</v>
      </c>
      <c r="B167" s="26">
        <f t="shared" si="6"/>
        <v>0.682056</v>
      </c>
      <c r="C167" s="25"/>
      <c r="D167" s="47"/>
      <c r="E167" s="48"/>
    </row>
    <row r="168" spans="1:5" ht="12.95" customHeight="1">
      <c r="A168" s="115">
        <v>55</v>
      </c>
      <c r="B168" s="26">
        <f t="shared" si="6"/>
        <v>0.58897500000000003</v>
      </c>
      <c r="C168" s="25"/>
      <c r="D168" s="47"/>
      <c r="E168" s="48"/>
    </row>
    <row r="169" spans="1:5" ht="12.95" customHeight="1">
      <c r="A169" s="117">
        <v>60</v>
      </c>
      <c r="B169" s="27">
        <f t="shared" ref="B169:B176" si="7">0.000661*(A169^2)-(0.112*A169)+4.78</f>
        <v>0.43960000000000043</v>
      </c>
      <c r="C169" s="25"/>
      <c r="D169" s="47"/>
      <c r="E169" s="48"/>
    </row>
    <row r="170" spans="1:5" ht="12.95" customHeight="1">
      <c r="A170" s="117">
        <v>65</v>
      </c>
      <c r="B170" s="27">
        <f t="shared" si="7"/>
        <v>0.2927249999999999</v>
      </c>
      <c r="C170" s="25"/>
      <c r="D170" s="47"/>
      <c r="E170" s="48"/>
    </row>
    <row r="171" spans="1:5" ht="12.95" customHeight="1">
      <c r="A171" s="117">
        <v>67</v>
      </c>
      <c r="B171" s="27">
        <f t="shared" si="7"/>
        <v>0.24322900000000036</v>
      </c>
      <c r="C171" s="25"/>
      <c r="D171" s="47"/>
      <c r="E171" s="48"/>
    </row>
    <row r="172" spans="1:5" ht="12.95" customHeight="1">
      <c r="A172" s="117">
        <v>70</v>
      </c>
      <c r="B172" s="27">
        <f t="shared" si="7"/>
        <v>0.1789000000000005</v>
      </c>
      <c r="C172" s="25"/>
      <c r="D172" s="47"/>
      <c r="E172" s="48"/>
    </row>
    <row r="173" spans="1:5" ht="12.95" customHeight="1">
      <c r="A173" s="117">
        <v>72</v>
      </c>
      <c r="B173" s="27">
        <f t="shared" si="7"/>
        <v>0.14262400000000053</v>
      </c>
      <c r="C173" s="25"/>
      <c r="D173" s="47"/>
      <c r="E173" s="48"/>
    </row>
    <row r="174" spans="1:5" ht="12.95" customHeight="1">
      <c r="A174" s="117">
        <v>75</v>
      </c>
      <c r="B174" s="27">
        <f t="shared" si="7"/>
        <v>9.8125000000000462E-2</v>
      </c>
      <c r="C174" s="25"/>
      <c r="D174" s="47"/>
      <c r="E174" s="48"/>
    </row>
    <row r="175" spans="1:5" ht="12.95" customHeight="1">
      <c r="A175" s="117">
        <v>80</v>
      </c>
      <c r="B175" s="27">
        <f t="shared" si="7"/>
        <v>5.0399999999999778E-2</v>
      </c>
      <c r="C175" s="25"/>
      <c r="D175" s="47"/>
      <c r="E175" s="48"/>
    </row>
    <row r="176" spans="1:5" ht="12.95" customHeight="1" thickBot="1">
      <c r="A176" s="119">
        <v>85</v>
      </c>
      <c r="B176" s="52">
        <f t="shared" si="7"/>
        <v>3.5725000000001117E-2</v>
      </c>
      <c r="C176" s="53"/>
      <c r="D176" s="49"/>
      <c r="E176" s="50"/>
    </row>
    <row r="177" spans="1:5" ht="12.95" customHeight="1" thickTop="1"/>
    <row r="178" spans="1:5" ht="12.95" customHeight="1" thickBot="1"/>
    <row r="179" spans="1:5" ht="30" customHeight="1" thickTop="1">
      <c r="A179" s="8" t="s">
        <v>12</v>
      </c>
      <c r="B179" s="32">
        <v>30</v>
      </c>
      <c r="C179" s="10" t="s">
        <v>10</v>
      </c>
      <c r="D179" s="33" t="s">
        <v>133</v>
      </c>
      <c r="E179" s="34" t="s">
        <v>23</v>
      </c>
    </row>
    <row r="180" spans="1:5" ht="30" customHeight="1">
      <c r="A180" s="13" t="s">
        <v>7</v>
      </c>
      <c r="B180" s="35" t="s">
        <v>132</v>
      </c>
      <c r="C180" s="39"/>
      <c r="D180" s="36"/>
      <c r="E180" s="40"/>
    </row>
    <row r="181" spans="1:5" ht="30" customHeight="1">
      <c r="A181" s="13" t="s">
        <v>15</v>
      </c>
      <c r="B181" s="35"/>
      <c r="C181" s="39"/>
      <c r="D181" s="36"/>
      <c r="E181" s="40"/>
    </row>
    <row r="182" spans="1:5" ht="30" customHeight="1" thickBot="1">
      <c r="A182" s="13" t="s">
        <v>8</v>
      </c>
      <c r="B182" s="35" t="s">
        <v>47</v>
      </c>
      <c r="C182" s="41"/>
      <c r="D182" s="42"/>
      <c r="E182" s="43"/>
    </row>
    <row r="183" spans="1:5" ht="30" customHeight="1">
      <c r="A183" s="13" t="s">
        <v>9</v>
      </c>
      <c r="B183" s="35" t="s">
        <v>86</v>
      </c>
      <c r="C183" s="4" t="s">
        <v>11</v>
      </c>
      <c r="D183" s="6">
        <v>40</v>
      </c>
      <c r="E183" s="44"/>
    </row>
    <row r="184" spans="1:5" ht="30" customHeight="1" thickBot="1">
      <c r="A184" s="14" t="s">
        <v>16</v>
      </c>
      <c r="B184" s="20" t="s">
        <v>17</v>
      </c>
      <c r="C184" s="5" t="s">
        <v>0</v>
      </c>
      <c r="D184" s="7">
        <f>IF(D183&lt;0,"valor del indicador fuera de rango",IF(D183&lt;=100,(-0.01*D183)+1,"valor del indicador fuera rango"))</f>
        <v>0.6</v>
      </c>
      <c r="E184" s="45"/>
    </row>
    <row r="185" spans="1:5" ht="30" customHeight="1">
      <c r="A185" s="15" t="s">
        <v>14</v>
      </c>
      <c r="B185" s="3" t="s">
        <v>0</v>
      </c>
      <c r="C185" s="146" t="s">
        <v>13</v>
      </c>
      <c r="D185" s="144"/>
      <c r="E185" s="145"/>
    </row>
    <row r="186" spans="1:5" ht="12.95" customHeight="1">
      <c r="A186" s="28">
        <v>0</v>
      </c>
      <c r="B186" s="24">
        <f>(-0.01*A186)+1</f>
        <v>1</v>
      </c>
      <c r="C186" s="47"/>
      <c r="D186" s="47"/>
      <c r="E186" s="48"/>
    </row>
    <row r="187" spans="1:5" ht="12.95" customHeight="1">
      <c r="A187" s="29">
        <v>5</v>
      </c>
      <c r="B187" s="24">
        <f t="shared" ref="B187:B204" si="8">(-0.01*A187)+1</f>
        <v>0.95</v>
      </c>
      <c r="C187" s="25"/>
      <c r="D187" s="47"/>
      <c r="E187" s="48"/>
    </row>
    <row r="188" spans="1:5" ht="12.95" customHeight="1">
      <c r="A188" s="29">
        <v>10</v>
      </c>
      <c r="B188" s="24">
        <f t="shared" si="8"/>
        <v>0.9</v>
      </c>
      <c r="C188" s="25"/>
      <c r="D188" s="47"/>
      <c r="E188" s="48"/>
    </row>
    <row r="189" spans="1:5" ht="12.95" customHeight="1">
      <c r="A189" s="29">
        <v>15</v>
      </c>
      <c r="B189" s="24">
        <f t="shared" si="8"/>
        <v>0.85</v>
      </c>
      <c r="C189" s="25"/>
      <c r="D189" s="47"/>
      <c r="E189" s="48"/>
    </row>
    <row r="190" spans="1:5" ht="12.95" customHeight="1">
      <c r="A190" s="29">
        <v>20</v>
      </c>
      <c r="B190" s="24">
        <f t="shared" si="8"/>
        <v>0.8</v>
      </c>
      <c r="C190" s="25"/>
      <c r="D190" s="47"/>
      <c r="E190" s="48"/>
    </row>
    <row r="191" spans="1:5" ht="12.95" customHeight="1">
      <c r="A191" s="29">
        <v>25</v>
      </c>
      <c r="B191" s="24">
        <f t="shared" si="8"/>
        <v>0.75</v>
      </c>
      <c r="C191" s="25"/>
      <c r="D191" s="47"/>
      <c r="E191" s="48"/>
    </row>
    <row r="192" spans="1:5" ht="12.95" customHeight="1">
      <c r="A192" s="29">
        <v>30</v>
      </c>
      <c r="B192" s="24">
        <f t="shared" si="8"/>
        <v>0.7</v>
      </c>
      <c r="C192" s="25"/>
      <c r="D192" s="47"/>
      <c r="E192" s="48"/>
    </row>
    <row r="193" spans="1:5" ht="12.95" customHeight="1">
      <c r="A193" s="29">
        <v>35</v>
      </c>
      <c r="B193" s="24">
        <f t="shared" si="8"/>
        <v>0.64999999999999991</v>
      </c>
      <c r="C193" s="25"/>
      <c r="D193" s="47"/>
      <c r="E193" s="48"/>
    </row>
    <row r="194" spans="1:5" ht="12.95" customHeight="1">
      <c r="A194" s="29">
        <v>40</v>
      </c>
      <c r="B194" s="24">
        <f t="shared" si="8"/>
        <v>0.6</v>
      </c>
      <c r="C194" s="25"/>
      <c r="D194" s="47"/>
      <c r="E194" s="48"/>
    </row>
    <row r="195" spans="1:5" ht="12.95" customHeight="1">
      <c r="A195" s="29">
        <v>45</v>
      </c>
      <c r="B195" s="24">
        <f t="shared" si="8"/>
        <v>0.55000000000000004</v>
      </c>
      <c r="C195" s="25"/>
      <c r="D195" s="47"/>
      <c r="E195" s="48"/>
    </row>
    <row r="196" spans="1:5" ht="12.95" customHeight="1">
      <c r="A196" s="29">
        <v>50</v>
      </c>
      <c r="B196" s="24">
        <f t="shared" si="8"/>
        <v>0.5</v>
      </c>
      <c r="C196" s="25"/>
      <c r="D196" s="47"/>
      <c r="E196" s="48"/>
    </row>
    <row r="197" spans="1:5" ht="12.95" customHeight="1">
      <c r="A197" s="29">
        <v>55</v>
      </c>
      <c r="B197" s="24">
        <f t="shared" si="8"/>
        <v>0.44999999999999996</v>
      </c>
      <c r="C197" s="25"/>
      <c r="D197" s="47"/>
      <c r="E197" s="48"/>
    </row>
    <row r="198" spans="1:5" ht="12.95" customHeight="1">
      <c r="A198" s="29">
        <v>60</v>
      </c>
      <c r="B198" s="24">
        <f t="shared" si="8"/>
        <v>0.4</v>
      </c>
      <c r="C198" s="25"/>
      <c r="D198" s="47"/>
      <c r="E198" s="48"/>
    </row>
    <row r="199" spans="1:5" ht="12.95" customHeight="1">
      <c r="A199" s="29">
        <v>65</v>
      </c>
      <c r="B199" s="24">
        <f t="shared" si="8"/>
        <v>0.35</v>
      </c>
      <c r="C199" s="25"/>
      <c r="D199" s="47"/>
      <c r="E199" s="48"/>
    </row>
    <row r="200" spans="1:5" ht="12.95" customHeight="1">
      <c r="A200" s="29">
        <v>70</v>
      </c>
      <c r="B200" s="24">
        <f t="shared" si="8"/>
        <v>0.29999999999999993</v>
      </c>
      <c r="C200" s="25"/>
      <c r="D200" s="47"/>
      <c r="E200" s="48"/>
    </row>
    <row r="201" spans="1:5" ht="12.95" customHeight="1">
      <c r="A201" s="29">
        <v>75</v>
      </c>
      <c r="B201" s="24">
        <f t="shared" si="8"/>
        <v>0.25</v>
      </c>
      <c r="C201" s="25"/>
      <c r="D201" s="47"/>
      <c r="E201" s="48"/>
    </row>
    <row r="202" spans="1:5" ht="12.95" customHeight="1">
      <c r="A202" s="29">
        <v>80</v>
      </c>
      <c r="B202" s="24">
        <f t="shared" si="8"/>
        <v>0.19999999999999996</v>
      </c>
      <c r="C202" s="25"/>
      <c r="D202" s="47"/>
      <c r="E202" s="48"/>
    </row>
    <row r="203" spans="1:5" ht="12.95" customHeight="1">
      <c r="A203" s="29">
        <v>90</v>
      </c>
      <c r="B203" s="24">
        <f t="shared" si="8"/>
        <v>9.9999999999999978E-2</v>
      </c>
      <c r="C203" s="25"/>
      <c r="D203" s="47"/>
      <c r="E203" s="48"/>
    </row>
    <row r="204" spans="1:5" ht="12.95" customHeight="1" thickBot="1">
      <c r="A204" s="56">
        <v>100</v>
      </c>
      <c r="B204" s="59">
        <f t="shared" si="8"/>
        <v>0</v>
      </c>
      <c r="C204" s="53"/>
      <c r="D204" s="49"/>
      <c r="E204" s="50"/>
    </row>
    <row r="205" spans="1:5" ht="12.95" customHeight="1" thickTop="1"/>
  </sheetData>
  <mergeCells count="7">
    <mergeCell ref="C123:E123"/>
    <mergeCell ref="C155:E155"/>
    <mergeCell ref="C185:E185"/>
    <mergeCell ref="C7:E7"/>
    <mergeCell ref="C36:E36"/>
    <mergeCell ref="C65:E65"/>
    <mergeCell ref="C94:E94"/>
  </mergeCells>
  <phoneticPr fontId="0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7"/>
  <sheetViews>
    <sheetView zoomScale="75" workbookViewId="0">
      <selection sqref="A1:IV65536"/>
    </sheetView>
  </sheetViews>
  <sheetFormatPr baseColWidth="10" defaultRowHeight="12.95" customHeight="1"/>
  <cols>
    <col min="1" max="1" width="25.83203125" style="46" customWidth="1"/>
    <col min="2" max="2" width="40.83203125" style="46" customWidth="1"/>
    <col min="3" max="5" width="22.83203125" style="46" customWidth="1"/>
    <col min="6" max="16384" width="12" style="46"/>
  </cols>
  <sheetData>
    <row r="1" spans="1:5" s="38" customFormat="1" ht="30" customHeight="1" thickTop="1">
      <c r="A1" s="8" t="s">
        <v>12</v>
      </c>
      <c r="B1" s="32">
        <v>31</v>
      </c>
      <c r="C1" s="10" t="s">
        <v>10</v>
      </c>
      <c r="D1" s="33" t="s">
        <v>185</v>
      </c>
      <c r="E1" s="34" t="s">
        <v>139</v>
      </c>
    </row>
    <row r="2" spans="1:5" s="38" customFormat="1" ht="30" customHeight="1">
      <c r="A2" s="13" t="s">
        <v>7</v>
      </c>
      <c r="B2" s="35" t="s">
        <v>138</v>
      </c>
      <c r="C2" s="39"/>
      <c r="D2" s="36" t="s">
        <v>186</v>
      </c>
      <c r="E2" s="109" t="s">
        <v>140</v>
      </c>
    </row>
    <row r="3" spans="1:5" s="38" customFormat="1" ht="30" customHeight="1">
      <c r="A3" s="13" t="s">
        <v>15</v>
      </c>
      <c r="B3" s="35"/>
      <c r="C3" s="39"/>
      <c r="D3" s="36" t="s">
        <v>187</v>
      </c>
      <c r="E3" s="40" t="s">
        <v>23</v>
      </c>
    </row>
    <row r="4" spans="1:5" s="38" customFormat="1" ht="30" customHeight="1" thickBot="1">
      <c r="A4" s="13" t="s">
        <v>8</v>
      </c>
      <c r="B4" s="35"/>
      <c r="C4" s="41"/>
      <c r="D4" s="42"/>
      <c r="E4" s="43"/>
    </row>
    <row r="5" spans="1:5" s="38" customFormat="1" ht="30" customHeight="1">
      <c r="A5" s="13" t="s">
        <v>9</v>
      </c>
      <c r="B5" s="35" t="s">
        <v>166</v>
      </c>
      <c r="C5" s="4" t="s">
        <v>11</v>
      </c>
      <c r="D5" s="6">
        <v>60</v>
      </c>
      <c r="E5" s="44"/>
    </row>
    <row r="6" spans="1:5" s="38" customFormat="1" ht="30" customHeight="1" thickBot="1">
      <c r="A6" s="14" t="s">
        <v>16</v>
      </c>
      <c r="B6" s="20" t="s">
        <v>17</v>
      </c>
      <c r="C6" s="5" t="s">
        <v>0</v>
      </c>
      <c r="D6" s="7">
        <f>IF(D5&lt;-100,"valor del indicador fuera de rango",IF(D5&lt;=-50,0.018*(D5)+(1.8),IF(D5&lt;=0,(0.002*(D5))+1,IF(D5&lt;=100,(-0.01*(D5))+1,"valor del indicador fuera rango"))))</f>
        <v>0.4</v>
      </c>
      <c r="E6" s="45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28">
        <v>-100</v>
      </c>
      <c r="B8" s="24">
        <f t="shared" ref="B8:B13" si="0">0.018*A8+1.8</f>
        <v>0</v>
      </c>
      <c r="C8" s="47"/>
      <c r="D8" s="47"/>
      <c r="E8" s="48"/>
    </row>
    <row r="9" spans="1:5" ht="12.95" customHeight="1">
      <c r="A9" s="29">
        <v>-90</v>
      </c>
      <c r="B9" s="24">
        <f t="shared" si="0"/>
        <v>0.18000000000000016</v>
      </c>
      <c r="C9" s="25"/>
      <c r="D9" s="47"/>
      <c r="E9" s="48"/>
    </row>
    <row r="10" spans="1:5" ht="12.95" customHeight="1">
      <c r="A10" s="29">
        <v>-80</v>
      </c>
      <c r="B10" s="24">
        <f t="shared" si="0"/>
        <v>0.3600000000000001</v>
      </c>
      <c r="C10" s="25"/>
      <c r="D10" s="47"/>
      <c r="E10" s="48"/>
    </row>
    <row r="11" spans="1:5" ht="12.95" customHeight="1">
      <c r="A11" s="29">
        <v>-70</v>
      </c>
      <c r="B11" s="24">
        <f t="shared" si="0"/>
        <v>0.54</v>
      </c>
      <c r="C11" s="25"/>
      <c r="D11" s="47"/>
      <c r="E11" s="48"/>
    </row>
    <row r="12" spans="1:5" ht="12.95" customHeight="1">
      <c r="A12" s="29">
        <v>-60</v>
      </c>
      <c r="B12" s="24">
        <f t="shared" si="0"/>
        <v>0.7200000000000002</v>
      </c>
      <c r="C12" s="25"/>
      <c r="D12" s="47"/>
      <c r="E12" s="48"/>
    </row>
    <row r="13" spans="1:5" ht="12.95" customHeight="1">
      <c r="A13" s="29">
        <v>-50</v>
      </c>
      <c r="B13" s="24">
        <f t="shared" si="0"/>
        <v>0.90000000000000013</v>
      </c>
      <c r="C13" s="25"/>
      <c r="D13" s="47"/>
      <c r="E13" s="48"/>
    </row>
    <row r="14" spans="1:5" ht="12.95" customHeight="1">
      <c r="A14" s="30">
        <v>-40</v>
      </c>
      <c r="B14" s="26">
        <f>0.002*A14+1</f>
        <v>0.92</v>
      </c>
      <c r="C14" s="25"/>
      <c r="D14" s="47"/>
      <c r="E14" s="48"/>
    </row>
    <row r="15" spans="1:5" ht="12.95" customHeight="1">
      <c r="A15" s="30">
        <v>-30</v>
      </c>
      <c r="B15" s="26">
        <f>0.002*A15+1</f>
        <v>0.94</v>
      </c>
      <c r="C15" s="25"/>
      <c r="D15" s="47"/>
      <c r="E15" s="48"/>
    </row>
    <row r="16" spans="1:5" ht="12.95" customHeight="1">
      <c r="A16" s="30">
        <v>-20</v>
      </c>
      <c r="B16" s="26">
        <f>0.002*A16+1</f>
        <v>0.96</v>
      </c>
      <c r="C16" s="25"/>
      <c r="D16" s="47"/>
      <c r="E16" s="48"/>
    </row>
    <row r="17" spans="1:5" ht="12.95" customHeight="1">
      <c r="A17" s="30">
        <v>-10</v>
      </c>
      <c r="B17" s="26">
        <f>0.002*A17+1</f>
        <v>0.98</v>
      </c>
      <c r="C17" s="25"/>
      <c r="D17" s="47"/>
      <c r="E17" s="48"/>
    </row>
    <row r="18" spans="1:5" ht="12.95" customHeight="1">
      <c r="A18" s="30">
        <v>0</v>
      </c>
      <c r="B18" s="26">
        <f>0.002*A18+1</f>
        <v>1</v>
      </c>
      <c r="C18" s="25"/>
      <c r="D18" s="47"/>
      <c r="E18" s="48"/>
    </row>
    <row r="19" spans="1:5" ht="12.95" customHeight="1">
      <c r="A19" s="31">
        <v>10</v>
      </c>
      <c r="B19" s="27">
        <f>-0.01*A19+1</f>
        <v>0.9</v>
      </c>
      <c r="C19" s="25"/>
      <c r="D19" s="47"/>
      <c r="E19" s="48"/>
    </row>
    <row r="20" spans="1:5" ht="12.95" customHeight="1">
      <c r="A20" s="31">
        <v>20</v>
      </c>
      <c r="B20" s="27">
        <f t="shared" ref="B20:B26" si="1">-0.01*A20+1</f>
        <v>0.8</v>
      </c>
      <c r="C20" s="25"/>
      <c r="D20" s="47"/>
      <c r="E20" s="48"/>
    </row>
    <row r="21" spans="1:5" ht="12.95" customHeight="1">
      <c r="A21" s="31">
        <v>30</v>
      </c>
      <c r="B21" s="27">
        <f t="shared" si="1"/>
        <v>0.7</v>
      </c>
      <c r="C21" s="25"/>
      <c r="D21" s="47"/>
      <c r="E21" s="48"/>
    </row>
    <row r="22" spans="1:5" ht="12.95" customHeight="1">
      <c r="A22" s="31">
        <v>40</v>
      </c>
      <c r="B22" s="27">
        <f t="shared" si="1"/>
        <v>0.6</v>
      </c>
      <c r="C22" s="25"/>
      <c r="D22" s="47"/>
      <c r="E22" s="48"/>
    </row>
    <row r="23" spans="1:5" ht="12.95" customHeight="1">
      <c r="A23" s="31">
        <v>50</v>
      </c>
      <c r="B23" s="27">
        <f t="shared" si="1"/>
        <v>0.5</v>
      </c>
      <c r="C23" s="25"/>
      <c r="D23" s="47"/>
      <c r="E23" s="48"/>
    </row>
    <row r="24" spans="1:5" ht="12.95" customHeight="1">
      <c r="A24" s="31">
        <v>60</v>
      </c>
      <c r="B24" s="27">
        <f t="shared" si="1"/>
        <v>0.4</v>
      </c>
      <c r="C24" s="25"/>
      <c r="D24" s="47"/>
      <c r="E24" s="48"/>
    </row>
    <row r="25" spans="1:5" ht="12.95" customHeight="1">
      <c r="A25" s="31">
        <v>80</v>
      </c>
      <c r="B25" s="27">
        <f t="shared" si="1"/>
        <v>0.19999999999999996</v>
      </c>
      <c r="C25" s="25"/>
      <c r="D25" s="47"/>
      <c r="E25" s="48"/>
    </row>
    <row r="26" spans="1:5" ht="12.95" customHeight="1" thickBot="1">
      <c r="A26" s="51">
        <v>100</v>
      </c>
      <c r="B26" s="52">
        <f t="shared" si="1"/>
        <v>0</v>
      </c>
      <c r="C26" s="53"/>
      <c r="D26" s="49"/>
      <c r="E26" s="50"/>
    </row>
    <row r="27" spans="1:5" ht="12.95" customHeight="1" thickTop="1"/>
  </sheetData>
  <mergeCells count="1">
    <mergeCell ref="C7:E7"/>
  </mergeCells>
  <phoneticPr fontId="0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0"/>
  <sheetViews>
    <sheetView topLeftCell="A52" zoomScale="75" workbookViewId="0">
      <selection activeCell="K78" sqref="K78"/>
    </sheetView>
  </sheetViews>
  <sheetFormatPr baseColWidth="10" defaultRowHeight="12.95" customHeight="1"/>
  <cols>
    <col min="1" max="1" width="25.83203125" style="123" customWidth="1"/>
    <col min="2" max="2" width="40.83203125" style="123" customWidth="1"/>
    <col min="3" max="5" width="22.83203125" style="123" customWidth="1"/>
    <col min="6" max="16384" width="12" style="123"/>
  </cols>
  <sheetData>
    <row r="1" spans="1:5" ht="30" customHeight="1" thickTop="1">
      <c r="A1" s="8" t="s">
        <v>12</v>
      </c>
      <c r="B1" s="9">
        <v>32</v>
      </c>
      <c r="C1" s="10" t="s">
        <v>10</v>
      </c>
      <c r="D1" s="92" t="s">
        <v>188</v>
      </c>
      <c r="E1" s="12" t="s">
        <v>141</v>
      </c>
    </row>
    <row r="2" spans="1:5" ht="30" customHeight="1">
      <c r="A2" s="13" t="s">
        <v>7</v>
      </c>
      <c r="B2" s="1" t="s">
        <v>167</v>
      </c>
      <c r="C2" s="60"/>
      <c r="D2" s="2"/>
      <c r="E2" s="108"/>
    </row>
    <row r="3" spans="1:5" ht="30" customHeight="1">
      <c r="A3" s="13" t="s">
        <v>15</v>
      </c>
      <c r="B3" s="1"/>
      <c r="C3" s="60"/>
      <c r="D3" s="2"/>
      <c r="E3" s="61"/>
    </row>
    <row r="4" spans="1:5" ht="30" customHeight="1" thickBot="1">
      <c r="A4" s="13" t="s">
        <v>8</v>
      </c>
      <c r="B4" s="1"/>
      <c r="C4" s="62"/>
      <c r="D4" s="63"/>
      <c r="E4" s="64"/>
    </row>
    <row r="5" spans="1:5" ht="30" customHeight="1">
      <c r="A5" s="13" t="s">
        <v>9</v>
      </c>
      <c r="B5" s="1" t="s">
        <v>168</v>
      </c>
      <c r="C5" s="4" t="s">
        <v>11</v>
      </c>
      <c r="D5" s="6">
        <v>0.5</v>
      </c>
      <c r="E5" s="65"/>
    </row>
    <row r="6" spans="1:5" ht="30" customHeight="1" thickBot="1">
      <c r="A6" s="14" t="s">
        <v>16</v>
      </c>
      <c r="B6" s="20" t="s">
        <v>184</v>
      </c>
      <c r="C6" s="5" t="s">
        <v>0</v>
      </c>
      <c r="D6" s="7">
        <f>IF(D5&lt;0,"valor del indicador fuera de rango",IF(D5&lt;=1,((-0.4*D5^2)+(1.4*D5)),"valor del indicador fuera rango"))</f>
        <v>0.6</v>
      </c>
      <c r="E6" s="66"/>
    </row>
    <row r="7" spans="1:5" ht="30" customHeight="1">
      <c r="A7" s="15" t="s">
        <v>14</v>
      </c>
      <c r="B7" s="3" t="s">
        <v>0</v>
      </c>
      <c r="C7" s="147" t="s">
        <v>13</v>
      </c>
      <c r="D7" s="148"/>
      <c r="E7" s="149"/>
    </row>
    <row r="8" spans="1:5" ht="12.95" customHeight="1">
      <c r="A8" s="96">
        <v>0</v>
      </c>
      <c r="B8" s="24">
        <f>-0.4*A8^2+1.4*A8</f>
        <v>0</v>
      </c>
      <c r="C8" s="124"/>
      <c r="D8" s="124"/>
      <c r="E8" s="125"/>
    </row>
    <row r="9" spans="1:5" ht="12.95" customHeight="1">
      <c r="A9" s="97">
        <f>A8+0.05</f>
        <v>0.05</v>
      </c>
      <c r="B9" s="24">
        <f t="shared" ref="B9:B25" si="0">-0.4*A9^2+1.4*A9</f>
        <v>6.8999999999999992E-2</v>
      </c>
      <c r="C9" s="126"/>
      <c r="D9" s="124"/>
      <c r="E9" s="125"/>
    </row>
    <row r="10" spans="1:5" ht="12.95" customHeight="1">
      <c r="A10" s="97">
        <f t="shared" ref="A10:A20" si="1">A9+0.05</f>
        <v>0.1</v>
      </c>
      <c r="B10" s="24">
        <f t="shared" si="0"/>
        <v>0.13599999999999998</v>
      </c>
      <c r="C10" s="126"/>
      <c r="D10" s="124"/>
      <c r="E10" s="125"/>
    </row>
    <row r="11" spans="1:5" ht="12.95" customHeight="1">
      <c r="A11" s="97">
        <f t="shared" si="1"/>
        <v>0.15000000000000002</v>
      </c>
      <c r="B11" s="24">
        <f t="shared" si="0"/>
        <v>0.20100000000000001</v>
      </c>
      <c r="C11" s="126"/>
      <c r="D11" s="124"/>
      <c r="E11" s="125"/>
    </row>
    <row r="12" spans="1:5" ht="12.95" customHeight="1">
      <c r="A12" s="97">
        <f t="shared" si="1"/>
        <v>0.2</v>
      </c>
      <c r="B12" s="24">
        <f t="shared" si="0"/>
        <v>0.26399999999999996</v>
      </c>
      <c r="C12" s="126"/>
      <c r="D12" s="124"/>
      <c r="E12" s="125"/>
    </row>
    <row r="13" spans="1:5" ht="12.95" customHeight="1">
      <c r="A13" s="97">
        <f t="shared" si="1"/>
        <v>0.25</v>
      </c>
      <c r="B13" s="24">
        <f t="shared" si="0"/>
        <v>0.32499999999999996</v>
      </c>
      <c r="C13" s="126"/>
      <c r="D13" s="124"/>
      <c r="E13" s="125"/>
    </row>
    <row r="14" spans="1:5" ht="12.95" customHeight="1">
      <c r="A14" s="97">
        <f t="shared" si="1"/>
        <v>0.3</v>
      </c>
      <c r="B14" s="24">
        <f t="shared" si="0"/>
        <v>0.38400000000000001</v>
      </c>
      <c r="C14" s="126"/>
      <c r="D14" s="124"/>
      <c r="E14" s="125"/>
    </row>
    <row r="15" spans="1:5" ht="12.95" customHeight="1">
      <c r="A15" s="97">
        <f t="shared" si="1"/>
        <v>0.35</v>
      </c>
      <c r="B15" s="24">
        <f t="shared" si="0"/>
        <v>0.44099999999999995</v>
      </c>
      <c r="C15" s="126"/>
      <c r="D15" s="124"/>
      <c r="E15" s="125"/>
    </row>
    <row r="16" spans="1:5" ht="12.95" customHeight="1">
      <c r="A16" s="97">
        <f t="shared" si="1"/>
        <v>0.39999999999999997</v>
      </c>
      <c r="B16" s="24">
        <f t="shared" si="0"/>
        <v>0.49599999999999994</v>
      </c>
      <c r="C16" s="126"/>
      <c r="D16" s="124"/>
      <c r="E16" s="125"/>
    </row>
    <row r="17" spans="1:5" ht="12.95" customHeight="1">
      <c r="A17" s="97">
        <f t="shared" si="1"/>
        <v>0.44999999999999996</v>
      </c>
      <c r="B17" s="24">
        <f t="shared" si="0"/>
        <v>0.54899999999999993</v>
      </c>
      <c r="C17" s="126"/>
      <c r="D17" s="124"/>
      <c r="E17" s="125"/>
    </row>
    <row r="18" spans="1:5" ht="12.95" customHeight="1">
      <c r="A18" s="97">
        <f t="shared" si="1"/>
        <v>0.49999999999999994</v>
      </c>
      <c r="B18" s="24">
        <f t="shared" si="0"/>
        <v>0.59999999999999987</v>
      </c>
      <c r="C18" s="126"/>
      <c r="D18" s="124"/>
      <c r="E18" s="125"/>
    </row>
    <row r="19" spans="1:5" ht="12.95" customHeight="1">
      <c r="A19" s="97">
        <f t="shared" si="1"/>
        <v>0.54999999999999993</v>
      </c>
      <c r="B19" s="24">
        <f t="shared" si="0"/>
        <v>0.64899999999999991</v>
      </c>
      <c r="C19" s="126"/>
      <c r="D19" s="124"/>
      <c r="E19" s="125"/>
    </row>
    <row r="20" spans="1:5" ht="12.95" customHeight="1">
      <c r="A20" s="97">
        <f t="shared" si="1"/>
        <v>0.6</v>
      </c>
      <c r="B20" s="24">
        <f t="shared" si="0"/>
        <v>0.69599999999999995</v>
      </c>
      <c r="C20" s="126"/>
      <c r="D20" s="124"/>
      <c r="E20" s="125"/>
    </row>
    <row r="21" spans="1:5" ht="12.95" customHeight="1">
      <c r="A21" s="97">
        <v>0.7</v>
      </c>
      <c r="B21" s="24">
        <f t="shared" si="0"/>
        <v>0.78399999999999992</v>
      </c>
      <c r="C21" s="126"/>
      <c r="D21" s="124"/>
      <c r="E21" s="125"/>
    </row>
    <row r="22" spans="1:5" ht="12.95" customHeight="1">
      <c r="A22" s="97">
        <v>0.8</v>
      </c>
      <c r="B22" s="24">
        <f t="shared" si="0"/>
        <v>0.86399999999999988</v>
      </c>
      <c r="C22" s="126"/>
      <c r="D22" s="124"/>
      <c r="E22" s="125"/>
    </row>
    <row r="23" spans="1:5" ht="12.95" customHeight="1">
      <c r="A23" s="97">
        <v>0.85</v>
      </c>
      <c r="B23" s="24">
        <f t="shared" si="0"/>
        <v>0.90100000000000002</v>
      </c>
      <c r="C23" s="126"/>
      <c r="D23" s="124"/>
      <c r="E23" s="125"/>
    </row>
    <row r="24" spans="1:5" ht="12.95" customHeight="1">
      <c r="A24" s="97">
        <v>0.9</v>
      </c>
      <c r="B24" s="24">
        <f t="shared" si="0"/>
        <v>0.93599999999999994</v>
      </c>
      <c r="C24" s="126"/>
      <c r="D24" s="124"/>
      <c r="E24" s="125"/>
    </row>
    <row r="25" spans="1:5" ht="12.95" customHeight="1" thickBot="1">
      <c r="A25" s="139">
        <v>1</v>
      </c>
      <c r="B25" s="140">
        <f t="shared" si="0"/>
        <v>0.99999999999999989</v>
      </c>
      <c r="C25" s="127"/>
      <c r="D25" s="128"/>
      <c r="E25" s="129"/>
    </row>
    <row r="26" spans="1:5" ht="12.95" customHeight="1" thickTop="1"/>
    <row r="27" spans="1:5" ht="12.95" customHeight="1" thickBot="1"/>
    <row r="28" spans="1:5" ht="30" customHeight="1" thickTop="1">
      <c r="A28" s="8" t="s">
        <v>12</v>
      </c>
      <c r="B28" s="9">
        <v>33</v>
      </c>
      <c r="C28" s="10" t="s">
        <v>10</v>
      </c>
      <c r="D28" s="11" t="s">
        <v>189</v>
      </c>
      <c r="E28" s="12" t="s">
        <v>141</v>
      </c>
    </row>
    <row r="29" spans="1:5" ht="30" customHeight="1">
      <c r="A29" s="13" t="s">
        <v>7</v>
      </c>
      <c r="B29" s="1" t="s">
        <v>170</v>
      </c>
      <c r="C29" s="60"/>
      <c r="D29" s="2"/>
      <c r="E29" s="108"/>
    </row>
    <row r="30" spans="1:5" ht="30" customHeight="1">
      <c r="A30" s="13" t="s">
        <v>15</v>
      </c>
      <c r="B30" s="1"/>
      <c r="C30" s="60"/>
      <c r="D30" s="2"/>
      <c r="E30" s="61"/>
    </row>
    <row r="31" spans="1:5" ht="30" customHeight="1" thickBot="1">
      <c r="A31" s="13" t="s">
        <v>8</v>
      </c>
      <c r="B31" s="1"/>
      <c r="C31" s="62"/>
      <c r="D31" s="63"/>
      <c r="E31" s="64"/>
    </row>
    <row r="32" spans="1:5" ht="30" customHeight="1">
      <c r="A32" s="13" t="s">
        <v>9</v>
      </c>
      <c r="B32" s="1" t="s">
        <v>168</v>
      </c>
      <c r="C32" s="4" t="s">
        <v>11</v>
      </c>
      <c r="D32" s="6">
        <v>0.5</v>
      </c>
      <c r="E32" s="65"/>
    </row>
    <row r="33" spans="1:5" ht="30" customHeight="1" thickBot="1">
      <c r="A33" s="14" t="s">
        <v>16</v>
      </c>
      <c r="B33" s="20" t="s">
        <v>184</v>
      </c>
      <c r="C33" s="5" t="s">
        <v>0</v>
      </c>
      <c r="D33" s="7">
        <f>IF(D32&lt;0,"valor del indicador fuera de rango",IF(D32&lt;=1,((-0.289*D32^2)+(1.19*D32)),"valor del indicador fuera rango"))</f>
        <v>0.52274999999999994</v>
      </c>
      <c r="E33" s="66"/>
    </row>
    <row r="34" spans="1:5" ht="30" customHeight="1">
      <c r="A34" s="15" t="s">
        <v>14</v>
      </c>
      <c r="B34" s="3" t="s">
        <v>0</v>
      </c>
      <c r="C34" s="147" t="s">
        <v>13</v>
      </c>
      <c r="D34" s="148"/>
      <c r="E34" s="149"/>
    </row>
    <row r="35" spans="1:5" ht="12.95" customHeight="1">
      <c r="A35" s="96">
        <v>0</v>
      </c>
      <c r="B35" s="24">
        <f>-0.289*A35^2+1.19*A35</f>
        <v>0</v>
      </c>
      <c r="C35" s="124"/>
      <c r="D35" s="124"/>
      <c r="E35" s="125"/>
    </row>
    <row r="36" spans="1:5" ht="12.95" customHeight="1">
      <c r="A36" s="97">
        <f>A35+0.05</f>
        <v>0.05</v>
      </c>
      <c r="B36" s="24">
        <f t="shared" ref="B36:B52" si="2">-0.289*A36^2+1.19*A36</f>
        <v>5.8777499999999996E-2</v>
      </c>
      <c r="C36" s="126"/>
      <c r="D36" s="124"/>
      <c r="E36" s="125"/>
    </row>
    <row r="37" spans="1:5" ht="12.95" customHeight="1">
      <c r="A37" s="97">
        <f t="shared" ref="A37:A47" si="3">A36+0.05</f>
        <v>0.1</v>
      </c>
      <c r="B37" s="24">
        <f t="shared" si="2"/>
        <v>0.11610999999999999</v>
      </c>
      <c r="C37" s="126"/>
      <c r="D37" s="124"/>
      <c r="E37" s="125"/>
    </row>
    <row r="38" spans="1:5" ht="12.95" customHeight="1">
      <c r="A38" s="97">
        <f t="shared" si="3"/>
        <v>0.15000000000000002</v>
      </c>
      <c r="B38" s="24">
        <f t="shared" si="2"/>
        <v>0.17199750000000003</v>
      </c>
      <c r="C38" s="126"/>
      <c r="D38" s="124"/>
      <c r="E38" s="125"/>
    </row>
    <row r="39" spans="1:5" ht="12.95" customHeight="1">
      <c r="A39" s="97">
        <f t="shared" si="3"/>
        <v>0.2</v>
      </c>
      <c r="B39" s="24">
        <f t="shared" si="2"/>
        <v>0.22643999999999997</v>
      </c>
      <c r="C39" s="126"/>
      <c r="D39" s="124"/>
      <c r="E39" s="125"/>
    </row>
    <row r="40" spans="1:5" ht="12.95" customHeight="1">
      <c r="A40" s="97">
        <f t="shared" si="3"/>
        <v>0.25</v>
      </c>
      <c r="B40" s="24">
        <f t="shared" si="2"/>
        <v>0.27943750000000001</v>
      </c>
      <c r="C40" s="126"/>
      <c r="D40" s="124"/>
      <c r="E40" s="125"/>
    </row>
    <row r="41" spans="1:5" ht="12.95" customHeight="1">
      <c r="A41" s="97">
        <f t="shared" si="3"/>
        <v>0.3</v>
      </c>
      <c r="B41" s="24">
        <f t="shared" si="2"/>
        <v>0.33099000000000001</v>
      </c>
      <c r="C41" s="126"/>
      <c r="D41" s="124"/>
      <c r="E41" s="125"/>
    </row>
    <row r="42" spans="1:5" ht="12.95" customHeight="1">
      <c r="A42" s="97">
        <f t="shared" si="3"/>
        <v>0.35</v>
      </c>
      <c r="B42" s="24">
        <f t="shared" si="2"/>
        <v>0.38109749999999998</v>
      </c>
      <c r="C42" s="126"/>
      <c r="D42" s="124"/>
      <c r="E42" s="125"/>
    </row>
    <row r="43" spans="1:5" ht="12.95" customHeight="1">
      <c r="A43" s="97">
        <f t="shared" si="3"/>
        <v>0.39999999999999997</v>
      </c>
      <c r="B43" s="24">
        <f t="shared" si="2"/>
        <v>0.42975999999999992</v>
      </c>
      <c r="C43" s="126"/>
      <c r="D43" s="124"/>
      <c r="E43" s="125"/>
    </row>
    <row r="44" spans="1:5" ht="12.95" customHeight="1">
      <c r="A44" s="97">
        <f t="shared" si="3"/>
        <v>0.44999999999999996</v>
      </c>
      <c r="B44" s="24">
        <f t="shared" si="2"/>
        <v>0.4769775</v>
      </c>
      <c r="C44" s="126"/>
      <c r="D44" s="124"/>
      <c r="E44" s="125"/>
    </row>
    <row r="45" spans="1:5" ht="12.95" customHeight="1">
      <c r="A45" s="97">
        <f t="shared" si="3"/>
        <v>0.49999999999999994</v>
      </c>
      <c r="B45" s="24">
        <f t="shared" si="2"/>
        <v>0.52274999999999983</v>
      </c>
      <c r="C45" s="126"/>
      <c r="D45" s="124"/>
      <c r="E45" s="125"/>
    </row>
    <row r="46" spans="1:5" ht="12.95" customHeight="1">
      <c r="A46" s="97">
        <f t="shared" si="3"/>
        <v>0.54999999999999993</v>
      </c>
      <c r="B46" s="24">
        <f t="shared" si="2"/>
        <v>0.5670774999999999</v>
      </c>
      <c r="C46" s="126"/>
      <c r="D46" s="124"/>
      <c r="E46" s="125"/>
    </row>
    <row r="47" spans="1:5" ht="12.95" customHeight="1">
      <c r="A47" s="97">
        <f t="shared" si="3"/>
        <v>0.6</v>
      </c>
      <c r="B47" s="24">
        <f t="shared" si="2"/>
        <v>0.60995999999999995</v>
      </c>
      <c r="C47" s="126"/>
      <c r="D47" s="124"/>
      <c r="E47" s="125"/>
    </row>
    <row r="48" spans="1:5" ht="12.95" customHeight="1">
      <c r="A48" s="97">
        <v>0.7</v>
      </c>
      <c r="B48" s="24">
        <f t="shared" si="2"/>
        <v>0.69138999999999995</v>
      </c>
      <c r="C48" s="126"/>
      <c r="D48" s="124"/>
      <c r="E48" s="125"/>
    </row>
    <row r="49" spans="1:5" ht="12.95" customHeight="1">
      <c r="A49" s="97">
        <v>0.8</v>
      </c>
      <c r="B49" s="24">
        <f t="shared" si="2"/>
        <v>0.76703999999999994</v>
      </c>
      <c r="C49" s="126"/>
      <c r="D49" s="124"/>
      <c r="E49" s="125"/>
    </row>
    <row r="50" spans="1:5" ht="12.95" customHeight="1">
      <c r="A50" s="97">
        <v>0.85</v>
      </c>
      <c r="B50" s="24">
        <f t="shared" si="2"/>
        <v>0.80269749999999984</v>
      </c>
      <c r="C50" s="126"/>
      <c r="D50" s="124"/>
      <c r="E50" s="125"/>
    </row>
    <row r="51" spans="1:5" ht="12.95" customHeight="1">
      <c r="A51" s="97">
        <v>0.9</v>
      </c>
      <c r="B51" s="24">
        <f t="shared" si="2"/>
        <v>0.83690999999999993</v>
      </c>
      <c r="C51" s="126"/>
      <c r="D51" s="124"/>
      <c r="E51" s="125"/>
    </row>
    <row r="52" spans="1:5" ht="12.95" customHeight="1" thickBot="1">
      <c r="A52" s="139">
        <v>1</v>
      </c>
      <c r="B52" s="59">
        <f t="shared" si="2"/>
        <v>0.90100000000000002</v>
      </c>
      <c r="C52" s="127"/>
      <c r="D52" s="128"/>
      <c r="E52" s="129"/>
    </row>
    <row r="53" spans="1:5" ht="12.95" customHeight="1" thickTop="1">
      <c r="A53" s="57"/>
      <c r="B53" s="58"/>
      <c r="C53" s="124"/>
      <c r="D53" s="124"/>
      <c r="E53" s="124"/>
    </row>
    <row r="54" spans="1:5" ht="12.95" customHeight="1" thickBot="1">
      <c r="A54" s="57"/>
      <c r="B54" s="58"/>
      <c r="C54" s="124"/>
      <c r="D54" s="124"/>
      <c r="E54" s="124"/>
    </row>
    <row r="55" spans="1:5" ht="30" customHeight="1" thickTop="1">
      <c r="A55" s="8" t="s">
        <v>12</v>
      </c>
      <c r="B55" s="9">
        <v>34</v>
      </c>
      <c r="C55" s="10" t="s">
        <v>10</v>
      </c>
      <c r="D55" s="11" t="s">
        <v>190</v>
      </c>
      <c r="E55" s="12" t="s">
        <v>141</v>
      </c>
    </row>
    <row r="56" spans="1:5" ht="30" customHeight="1">
      <c r="A56" s="13" t="s">
        <v>7</v>
      </c>
      <c r="B56" s="1" t="s">
        <v>169</v>
      </c>
      <c r="C56" s="60"/>
      <c r="D56" s="2"/>
      <c r="E56" s="61"/>
    </row>
    <row r="57" spans="1:5" ht="30" customHeight="1">
      <c r="A57" s="13" t="s">
        <v>15</v>
      </c>
      <c r="B57" s="1"/>
      <c r="C57" s="60"/>
      <c r="D57" s="2"/>
      <c r="E57" s="61"/>
    </row>
    <row r="58" spans="1:5" ht="30" customHeight="1" thickBot="1">
      <c r="A58" s="13" t="s">
        <v>8</v>
      </c>
      <c r="B58" s="1"/>
      <c r="C58" s="62"/>
      <c r="D58" s="63"/>
      <c r="E58" s="64"/>
    </row>
    <row r="59" spans="1:5" ht="30" customHeight="1">
      <c r="A59" s="13" t="s">
        <v>9</v>
      </c>
      <c r="B59" s="1" t="s">
        <v>168</v>
      </c>
      <c r="C59" s="4" t="s">
        <v>11</v>
      </c>
      <c r="D59" s="6">
        <v>0.5</v>
      </c>
      <c r="E59" s="65"/>
    </row>
    <row r="60" spans="1:5" ht="30" customHeight="1" thickBot="1">
      <c r="A60" s="14" t="s">
        <v>16</v>
      </c>
      <c r="B60" s="20" t="s">
        <v>184</v>
      </c>
      <c r="C60" s="5" t="s">
        <v>0</v>
      </c>
      <c r="D60" s="7">
        <f>IF(D59&lt;0,"valor del indicador fuera de rango",IF(D59&lt;=1,((-0.2*D59^2)+(0.4*D59)),"valor del indicador fuera rango"))</f>
        <v>0.15000000000000002</v>
      </c>
      <c r="E60" s="66"/>
    </row>
    <row r="61" spans="1:5" ht="30" customHeight="1">
      <c r="A61" s="15" t="s">
        <v>14</v>
      </c>
      <c r="B61" s="3" t="s">
        <v>0</v>
      </c>
      <c r="C61" s="147" t="s">
        <v>13</v>
      </c>
      <c r="D61" s="148"/>
      <c r="E61" s="149"/>
    </row>
    <row r="62" spans="1:5" ht="12.95" customHeight="1">
      <c r="A62" s="96">
        <v>0</v>
      </c>
      <c r="B62" s="24">
        <f>-0.2*A62^2+0.4*A62</f>
        <v>0</v>
      </c>
      <c r="C62" s="124"/>
      <c r="D62" s="124"/>
      <c r="E62" s="125"/>
    </row>
    <row r="63" spans="1:5" ht="12.95" customHeight="1">
      <c r="A63" s="97">
        <f>A62+0.05</f>
        <v>0.05</v>
      </c>
      <c r="B63" s="24">
        <f>-0.2*A63^2+0.4*A63</f>
        <v>1.9500000000000003E-2</v>
      </c>
      <c r="C63" s="126"/>
      <c r="D63" s="124"/>
      <c r="E63" s="125"/>
    </row>
    <row r="64" spans="1:5" ht="12.95" customHeight="1">
      <c r="A64" s="97">
        <f t="shared" ref="A64:A74" si="4">A63+0.05</f>
        <v>0.1</v>
      </c>
      <c r="B64" s="24">
        <f t="shared" ref="B64:B79" si="5">-0.2*A64^2+0.4*A64</f>
        <v>3.8000000000000006E-2</v>
      </c>
      <c r="C64" s="126"/>
      <c r="D64" s="124"/>
      <c r="E64" s="125"/>
    </row>
    <row r="65" spans="1:5" ht="12.95" customHeight="1">
      <c r="A65" s="97">
        <f t="shared" si="4"/>
        <v>0.15000000000000002</v>
      </c>
      <c r="B65" s="24">
        <f t="shared" si="5"/>
        <v>5.5500000000000008E-2</v>
      </c>
      <c r="C65" s="126"/>
      <c r="D65" s="124"/>
      <c r="E65" s="125"/>
    </row>
    <row r="66" spans="1:5" ht="12.95" customHeight="1">
      <c r="A66" s="97">
        <f t="shared" si="4"/>
        <v>0.2</v>
      </c>
      <c r="B66" s="24">
        <f t="shared" si="5"/>
        <v>7.2000000000000008E-2</v>
      </c>
      <c r="C66" s="126"/>
      <c r="D66" s="124"/>
      <c r="E66" s="125"/>
    </row>
    <row r="67" spans="1:5" ht="12.95" customHeight="1">
      <c r="A67" s="97">
        <f t="shared" si="4"/>
        <v>0.25</v>
      </c>
      <c r="B67" s="24">
        <f t="shared" si="5"/>
        <v>8.7500000000000008E-2</v>
      </c>
      <c r="C67" s="126"/>
      <c r="D67" s="124"/>
      <c r="E67" s="125"/>
    </row>
    <row r="68" spans="1:5" ht="12.95" customHeight="1">
      <c r="A68" s="97">
        <f t="shared" si="4"/>
        <v>0.3</v>
      </c>
      <c r="B68" s="24">
        <f t="shared" si="5"/>
        <v>0.10199999999999999</v>
      </c>
      <c r="C68" s="126"/>
      <c r="D68" s="124"/>
      <c r="E68" s="125"/>
    </row>
    <row r="69" spans="1:5" ht="12.95" customHeight="1">
      <c r="A69" s="97">
        <f t="shared" si="4"/>
        <v>0.35</v>
      </c>
      <c r="B69" s="24">
        <f t="shared" si="5"/>
        <v>0.11549999999999999</v>
      </c>
      <c r="C69" s="126"/>
      <c r="D69" s="124"/>
      <c r="E69" s="125"/>
    </row>
    <row r="70" spans="1:5" ht="12.95" customHeight="1">
      <c r="A70" s="97">
        <f t="shared" si="4"/>
        <v>0.39999999999999997</v>
      </c>
      <c r="B70" s="24">
        <f t="shared" si="5"/>
        <v>0.128</v>
      </c>
      <c r="C70" s="126"/>
      <c r="D70" s="124"/>
      <c r="E70" s="125"/>
    </row>
    <row r="71" spans="1:5" ht="12.95" customHeight="1">
      <c r="A71" s="97">
        <f t="shared" si="4"/>
        <v>0.44999999999999996</v>
      </c>
      <c r="B71" s="24">
        <f t="shared" si="5"/>
        <v>0.13950000000000001</v>
      </c>
      <c r="C71" s="126"/>
      <c r="D71" s="124"/>
      <c r="E71" s="125"/>
    </row>
    <row r="72" spans="1:5" ht="12.95" customHeight="1">
      <c r="A72" s="97">
        <f t="shared" si="4"/>
        <v>0.49999999999999994</v>
      </c>
      <c r="B72" s="24">
        <f t="shared" si="5"/>
        <v>0.15</v>
      </c>
      <c r="C72" s="126"/>
      <c r="D72" s="124"/>
      <c r="E72" s="125"/>
    </row>
    <row r="73" spans="1:5" ht="12.95" customHeight="1">
      <c r="A73" s="97">
        <f t="shared" si="4"/>
        <v>0.54999999999999993</v>
      </c>
      <c r="B73" s="24">
        <f t="shared" si="5"/>
        <v>0.15949999999999998</v>
      </c>
      <c r="C73" s="126"/>
      <c r="D73" s="124"/>
      <c r="E73" s="125"/>
    </row>
    <row r="74" spans="1:5" ht="12.95" customHeight="1">
      <c r="A74" s="97">
        <f t="shared" si="4"/>
        <v>0.6</v>
      </c>
      <c r="B74" s="24">
        <f t="shared" si="5"/>
        <v>0.16799999999999998</v>
      </c>
      <c r="C74" s="126"/>
      <c r="D74" s="124"/>
      <c r="E74" s="125"/>
    </row>
    <row r="75" spans="1:5" ht="12.95" customHeight="1">
      <c r="A75" s="97">
        <v>0.65</v>
      </c>
      <c r="B75" s="24">
        <f t="shared" si="5"/>
        <v>0.17549999999999999</v>
      </c>
      <c r="C75" s="126"/>
      <c r="D75" s="124"/>
      <c r="E75" s="125"/>
    </row>
    <row r="76" spans="1:5" ht="12.95" customHeight="1">
      <c r="A76" s="97">
        <v>0.7</v>
      </c>
      <c r="B76" s="24">
        <f t="shared" si="5"/>
        <v>0.182</v>
      </c>
      <c r="C76" s="126"/>
      <c r="D76" s="124"/>
      <c r="E76" s="125"/>
    </row>
    <row r="77" spans="1:5" ht="12.95" customHeight="1">
      <c r="A77" s="97">
        <v>0.8</v>
      </c>
      <c r="B77" s="24">
        <f t="shared" si="5"/>
        <v>0.19200000000000003</v>
      </c>
      <c r="C77" s="126"/>
      <c r="D77" s="124"/>
      <c r="E77" s="125"/>
    </row>
    <row r="78" spans="1:5" ht="12.95" customHeight="1">
      <c r="A78" s="97">
        <v>0.9</v>
      </c>
      <c r="B78" s="24">
        <f t="shared" si="5"/>
        <v>0.19800000000000001</v>
      </c>
      <c r="C78" s="126"/>
      <c r="D78" s="124"/>
      <c r="E78" s="125"/>
    </row>
    <row r="79" spans="1:5" ht="12.95" customHeight="1" thickBot="1">
      <c r="A79" s="139">
        <v>1</v>
      </c>
      <c r="B79" s="59">
        <f t="shared" si="5"/>
        <v>0.2</v>
      </c>
      <c r="C79" s="127"/>
      <c r="D79" s="128"/>
      <c r="E79" s="129"/>
    </row>
    <row r="80" spans="1:5" ht="12.95" customHeight="1" thickTop="1"/>
  </sheetData>
  <mergeCells count="3">
    <mergeCell ref="C7:E7"/>
    <mergeCell ref="C34:E34"/>
    <mergeCell ref="C61:E61"/>
  </mergeCells>
  <phoneticPr fontId="0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4"/>
  <sheetViews>
    <sheetView topLeftCell="A133" zoomScale="75" workbookViewId="0">
      <selection activeCell="C164" sqref="C164"/>
    </sheetView>
  </sheetViews>
  <sheetFormatPr baseColWidth="10" defaultRowHeight="12.95" customHeight="1"/>
  <cols>
    <col min="1" max="1" width="25.83203125" style="123" customWidth="1"/>
    <col min="2" max="2" width="40.83203125" style="123" customWidth="1"/>
    <col min="3" max="5" width="22.83203125" style="123" customWidth="1"/>
    <col min="6" max="16384" width="12" style="123"/>
  </cols>
  <sheetData>
    <row r="1" spans="1:5" ht="30" customHeight="1" thickTop="1">
      <c r="A1" s="8" t="s">
        <v>12</v>
      </c>
      <c r="B1" s="9">
        <v>35</v>
      </c>
      <c r="C1" s="10" t="s">
        <v>10</v>
      </c>
      <c r="D1" s="11" t="s">
        <v>191</v>
      </c>
      <c r="E1" s="12" t="s">
        <v>143</v>
      </c>
    </row>
    <row r="2" spans="1:5" ht="30" customHeight="1">
      <c r="A2" s="13" t="s">
        <v>7</v>
      </c>
      <c r="B2" s="1" t="s">
        <v>142</v>
      </c>
      <c r="C2" s="60"/>
      <c r="D2" s="2" t="s">
        <v>192</v>
      </c>
      <c r="E2" s="108" t="s">
        <v>144</v>
      </c>
    </row>
    <row r="3" spans="1:5" ht="30" customHeight="1">
      <c r="A3" s="13" t="s">
        <v>15</v>
      </c>
      <c r="B3" s="1"/>
      <c r="C3" s="60"/>
      <c r="D3" s="2"/>
      <c r="E3" s="61"/>
    </row>
    <row r="4" spans="1:5" ht="30" customHeight="1" thickBot="1">
      <c r="A4" s="13" t="s">
        <v>8</v>
      </c>
      <c r="B4" s="17" t="s">
        <v>93</v>
      </c>
      <c r="C4" s="62"/>
      <c r="D4" s="63"/>
      <c r="E4" s="64"/>
    </row>
    <row r="5" spans="1:5" ht="30" customHeight="1">
      <c r="A5" s="13" t="s">
        <v>9</v>
      </c>
      <c r="B5" s="1" t="s">
        <v>171</v>
      </c>
      <c r="C5" s="4" t="s">
        <v>11</v>
      </c>
      <c r="D5" s="6">
        <v>120</v>
      </c>
      <c r="E5" s="65"/>
    </row>
    <row r="6" spans="1:5" ht="30" customHeight="1" thickBot="1">
      <c r="A6" s="14" t="s">
        <v>16</v>
      </c>
      <c r="B6" s="20" t="s">
        <v>17</v>
      </c>
      <c r="C6" s="5" t="s">
        <v>0</v>
      </c>
      <c r="D6" s="7">
        <f>IF(D5&lt;0,"valor del indicador fuera de rango",IF(D5&lt;=60,(0.0000694*(D5^2)-(0.0125*D5)+1),IF(D5&lt;=600,((0.00000154*D5^2)-(0.00194*D5)+0.61),"valor del indicador fuera rango")))</f>
        <v>0.39937599999999995</v>
      </c>
      <c r="E6" s="66"/>
    </row>
    <row r="7" spans="1:5" ht="30" customHeight="1">
      <c r="A7" s="15" t="s">
        <v>14</v>
      </c>
      <c r="B7" s="3" t="s">
        <v>0</v>
      </c>
      <c r="C7" s="147" t="s">
        <v>13</v>
      </c>
      <c r="D7" s="148"/>
      <c r="E7" s="149"/>
    </row>
    <row r="8" spans="1:5" ht="12.95" customHeight="1">
      <c r="A8" s="29">
        <v>0</v>
      </c>
      <c r="B8" s="24">
        <f t="shared" ref="B8:B14" si="0">0.0000694*A8^2-0.0125*A8+1</f>
        <v>1</v>
      </c>
      <c r="C8" s="124"/>
      <c r="D8" s="124"/>
      <c r="E8" s="125"/>
    </row>
    <row r="9" spans="1:5" ht="12.95" customHeight="1">
      <c r="A9" s="29">
        <v>10</v>
      </c>
      <c r="B9" s="24">
        <f t="shared" si="0"/>
        <v>0.88193999999999995</v>
      </c>
      <c r="C9" s="126"/>
      <c r="D9" s="124"/>
      <c r="E9" s="125"/>
    </row>
    <row r="10" spans="1:5" ht="12.95" customHeight="1">
      <c r="A10" s="29">
        <v>20</v>
      </c>
      <c r="B10" s="24">
        <f t="shared" si="0"/>
        <v>0.77776000000000001</v>
      </c>
      <c r="C10" s="126"/>
      <c r="D10" s="124"/>
      <c r="E10" s="125"/>
    </row>
    <row r="11" spans="1:5" ht="12.95" customHeight="1">
      <c r="A11" s="29">
        <v>30</v>
      </c>
      <c r="B11" s="24">
        <f t="shared" si="0"/>
        <v>0.68745999999999996</v>
      </c>
      <c r="C11" s="126"/>
      <c r="D11" s="124"/>
      <c r="E11" s="125"/>
    </row>
    <row r="12" spans="1:5" ht="12.95" customHeight="1">
      <c r="A12" s="29">
        <v>40</v>
      </c>
      <c r="B12" s="24">
        <f t="shared" si="0"/>
        <v>0.61104000000000003</v>
      </c>
      <c r="C12" s="126"/>
      <c r="D12" s="124"/>
      <c r="E12" s="125"/>
    </row>
    <row r="13" spans="1:5" ht="12.95" customHeight="1">
      <c r="A13" s="29">
        <v>50</v>
      </c>
      <c r="B13" s="24">
        <f t="shared" si="0"/>
        <v>0.54849999999999999</v>
      </c>
      <c r="C13" s="126"/>
      <c r="D13" s="124"/>
      <c r="E13" s="125"/>
    </row>
    <row r="14" spans="1:5" ht="12.95" customHeight="1">
      <c r="A14" s="29">
        <v>60</v>
      </c>
      <c r="B14" s="24">
        <f t="shared" si="0"/>
        <v>0.49984000000000006</v>
      </c>
      <c r="C14" s="126"/>
      <c r="D14" s="124"/>
      <c r="E14" s="125"/>
    </row>
    <row r="15" spans="1:5" ht="12.95" customHeight="1">
      <c r="A15" s="30">
        <v>90</v>
      </c>
      <c r="B15" s="26">
        <f>0.00000154*A15^2-0.00194*A15+0.61</f>
        <v>0.44787399999999999</v>
      </c>
      <c r="C15" s="126"/>
      <c r="D15" s="124"/>
      <c r="E15" s="125"/>
    </row>
    <row r="16" spans="1:5" ht="12.95" customHeight="1">
      <c r="A16" s="30">
        <v>120</v>
      </c>
      <c r="B16" s="26">
        <f t="shared" ref="B16:B30" si="1">0.00000154*A16^2-0.00194*A16+0.61</f>
        <v>0.39937599999999995</v>
      </c>
      <c r="C16" s="126"/>
      <c r="D16" s="124"/>
      <c r="E16" s="125"/>
    </row>
    <row r="17" spans="1:5" ht="12.95" customHeight="1">
      <c r="A17" s="30">
        <v>150</v>
      </c>
      <c r="B17" s="26">
        <f t="shared" si="1"/>
        <v>0.35364999999999996</v>
      </c>
      <c r="C17" s="126"/>
      <c r="D17" s="124"/>
      <c r="E17" s="125"/>
    </row>
    <row r="18" spans="1:5" ht="12.95" customHeight="1">
      <c r="A18" s="30">
        <v>180</v>
      </c>
      <c r="B18" s="26">
        <f t="shared" si="1"/>
        <v>0.31069599999999997</v>
      </c>
      <c r="C18" s="126"/>
      <c r="D18" s="124"/>
      <c r="E18" s="125"/>
    </row>
    <row r="19" spans="1:5" ht="12.95" customHeight="1">
      <c r="A19" s="30">
        <v>210</v>
      </c>
      <c r="B19" s="26">
        <f t="shared" si="1"/>
        <v>0.27051399999999992</v>
      </c>
      <c r="C19" s="126"/>
      <c r="D19" s="124"/>
      <c r="E19" s="125"/>
    </row>
    <row r="20" spans="1:5" ht="12.95" customHeight="1">
      <c r="A20" s="30">
        <v>240</v>
      </c>
      <c r="B20" s="26">
        <f t="shared" si="1"/>
        <v>0.23310399999999998</v>
      </c>
      <c r="C20" s="126"/>
      <c r="D20" s="124"/>
      <c r="E20" s="125"/>
    </row>
    <row r="21" spans="1:5" ht="12.95" customHeight="1">
      <c r="A21" s="30">
        <v>270</v>
      </c>
      <c r="B21" s="26">
        <f t="shared" si="1"/>
        <v>0.19846599999999992</v>
      </c>
      <c r="C21" s="126"/>
      <c r="D21" s="124"/>
      <c r="E21" s="125"/>
    </row>
    <row r="22" spans="1:5" ht="12.95" customHeight="1">
      <c r="A22" s="30">
        <v>300</v>
      </c>
      <c r="B22" s="26">
        <f t="shared" si="1"/>
        <v>0.16659999999999991</v>
      </c>
      <c r="C22" s="126"/>
      <c r="D22" s="124"/>
      <c r="E22" s="125"/>
    </row>
    <row r="23" spans="1:5" ht="12.95" customHeight="1">
      <c r="A23" s="30">
        <v>330</v>
      </c>
      <c r="B23" s="26">
        <f t="shared" si="1"/>
        <v>0.13750600000000002</v>
      </c>
      <c r="C23" s="126"/>
      <c r="D23" s="124"/>
      <c r="E23" s="125"/>
    </row>
    <row r="24" spans="1:5" ht="12.95" customHeight="1">
      <c r="A24" s="30">
        <v>360</v>
      </c>
      <c r="B24" s="26">
        <f t="shared" si="1"/>
        <v>0.11118399999999995</v>
      </c>
      <c r="C24" s="126"/>
      <c r="D24" s="124"/>
      <c r="E24" s="125"/>
    </row>
    <row r="25" spans="1:5" ht="12.95" customHeight="1">
      <c r="A25" s="30">
        <v>450</v>
      </c>
      <c r="B25" s="26">
        <f t="shared" si="1"/>
        <v>4.8849999999999949E-2</v>
      </c>
      <c r="C25" s="126"/>
      <c r="D25" s="124"/>
      <c r="E25" s="125"/>
    </row>
    <row r="26" spans="1:5" ht="12.95" customHeight="1">
      <c r="A26" s="30">
        <v>480</v>
      </c>
      <c r="B26" s="26">
        <f t="shared" si="1"/>
        <v>3.3615999999999979E-2</v>
      </c>
      <c r="C26" s="126"/>
      <c r="D26" s="124"/>
      <c r="E26" s="125"/>
    </row>
    <row r="27" spans="1:5" ht="12.95" customHeight="1">
      <c r="A27" s="30">
        <v>510</v>
      </c>
      <c r="B27" s="26">
        <f t="shared" si="1"/>
        <v>2.1154000000000006E-2</v>
      </c>
      <c r="C27" s="126"/>
      <c r="D27" s="124"/>
      <c r="E27" s="125"/>
    </row>
    <row r="28" spans="1:5" ht="12.95" customHeight="1">
      <c r="A28" s="30">
        <v>540</v>
      </c>
      <c r="B28" s="26">
        <f t="shared" si="1"/>
        <v>1.1463999999999919E-2</v>
      </c>
      <c r="C28" s="126"/>
      <c r="D28" s="124"/>
      <c r="E28" s="125"/>
    </row>
    <row r="29" spans="1:5" ht="12.95" customHeight="1">
      <c r="A29" s="30">
        <v>570</v>
      </c>
      <c r="B29" s="26">
        <f t="shared" si="1"/>
        <v>4.545999999999939E-3</v>
      </c>
      <c r="C29" s="126"/>
      <c r="D29" s="124"/>
      <c r="E29" s="125"/>
    </row>
    <row r="30" spans="1:5" ht="12.95" customHeight="1" thickBot="1">
      <c r="A30" s="84">
        <v>600</v>
      </c>
      <c r="B30" s="141">
        <f t="shared" si="1"/>
        <v>3.9999999999984492E-4</v>
      </c>
      <c r="C30" s="127"/>
      <c r="D30" s="127"/>
      <c r="E30" s="142"/>
    </row>
    <row r="31" spans="1:5" ht="12.95" customHeight="1" thickTop="1"/>
    <row r="32" spans="1:5" ht="12.95" customHeight="1" thickBot="1"/>
    <row r="33" spans="1:5" ht="30" customHeight="1" thickTop="1">
      <c r="A33" s="8" t="s">
        <v>12</v>
      </c>
      <c r="B33" s="9">
        <v>36</v>
      </c>
      <c r="C33" s="10" t="s">
        <v>10</v>
      </c>
      <c r="D33" s="11" t="s">
        <v>191</v>
      </c>
      <c r="E33" s="12" t="s">
        <v>143</v>
      </c>
    </row>
    <row r="34" spans="1:5" ht="30" customHeight="1">
      <c r="A34" s="13" t="s">
        <v>7</v>
      </c>
      <c r="B34" s="1" t="s">
        <v>145</v>
      </c>
      <c r="C34" s="60"/>
      <c r="D34" s="2" t="s">
        <v>192</v>
      </c>
      <c r="E34" s="108" t="s">
        <v>144</v>
      </c>
    </row>
    <row r="35" spans="1:5" ht="30" customHeight="1">
      <c r="A35" s="13" t="s">
        <v>15</v>
      </c>
      <c r="B35" s="1"/>
      <c r="C35" s="60"/>
      <c r="D35" s="2"/>
      <c r="E35" s="61"/>
    </row>
    <row r="36" spans="1:5" ht="30" customHeight="1" thickBot="1">
      <c r="A36" s="13" t="s">
        <v>8</v>
      </c>
      <c r="B36" s="17" t="s">
        <v>93</v>
      </c>
      <c r="C36" s="62"/>
      <c r="D36" s="63"/>
      <c r="E36" s="64"/>
    </row>
    <row r="37" spans="1:5" ht="30" customHeight="1">
      <c r="A37" s="13" t="s">
        <v>9</v>
      </c>
      <c r="B37" s="1" t="s">
        <v>171</v>
      </c>
      <c r="C37" s="4" t="s">
        <v>11</v>
      </c>
      <c r="D37" s="6">
        <v>120</v>
      </c>
      <c r="E37" s="65"/>
    </row>
    <row r="38" spans="1:5" ht="30" customHeight="1" thickBot="1">
      <c r="A38" s="14" t="s">
        <v>16</v>
      </c>
      <c r="B38" s="20" t="s">
        <v>17</v>
      </c>
      <c r="C38" s="5" t="s">
        <v>0</v>
      </c>
      <c r="D38" s="7">
        <f>IF(D37&lt;0,"valor del indicador fuera de rango",IF(D37&lt;=60,(0.0000694*(D37^2)-(0.0125*D37)+1),IF(D37&lt;=600,((0.00000154*D37^2)-(0.00194*D37)+0.61),"valor del indicador fuera rango")))</f>
        <v>0.39937599999999995</v>
      </c>
      <c r="E38" s="66"/>
    </row>
    <row r="39" spans="1:5" ht="30" customHeight="1">
      <c r="A39" s="15" t="s">
        <v>14</v>
      </c>
      <c r="B39" s="3" t="s">
        <v>0</v>
      </c>
      <c r="C39" s="147" t="s">
        <v>13</v>
      </c>
      <c r="D39" s="148"/>
      <c r="E39" s="149"/>
    </row>
    <row r="40" spans="1:5" ht="12.95" customHeight="1">
      <c r="A40" s="29">
        <v>0</v>
      </c>
      <c r="B40" s="24">
        <f>0.0000694*A40^2-0.0125*A40+1</f>
        <v>1</v>
      </c>
      <c r="C40" s="124"/>
      <c r="D40" s="124"/>
      <c r="E40" s="125"/>
    </row>
    <row r="41" spans="1:5" ht="12.95" customHeight="1">
      <c r="A41" s="29">
        <v>10</v>
      </c>
      <c r="B41" s="24">
        <f>0.0000694*A41^2-0.0125*A41+1</f>
        <v>0.88193999999999995</v>
      </c>
      <c r="C41" s="126"/>
      <c r="D41" s="124"/>
      <c r="E41" s="125"/>
    </row>
    <row r="42" spans="1:5" ht="12.95" customHeight="1">
      <c r="A42" s="29">
        <v>20</v>
      </c>
      <c r="B42" s="24">
        <f>0.0000694*A42^2-0.0125*A42+1</f>
        <v>0.77776000000000001</v>
      </c>
      <c r="C42" s="126"/>
      <c r="D42" s="124"/>
      <c r="E42" s="125"/>
    </row>
    <row r="43" spans="1:5" ht="12.95" customHeight="1">
      <c r="A43" s="29">
        <v>30</v>
      </c>
      <c r="B43" s="24">
        <f t="shared" ref="B43:B48" si="2">0.0000694*A43^2-0.0125*A43+1</f>
        <v>0.68745999999999996</v>
      </c>
      <c r="C43" s="126"/>
      <c r="D43" s="124"/>
      <c r="E43" s="125"/>
    </row>
    <row r="44" spans="1:5" ht="12.95" customHeight="1">
      <c r="A44" s="29">
        <v>40</v>
      </c>
      <c r="B44" s="24">
        <f t="shared" si="2"/>
        <v>0.61104000000000003</v>
      </c>
      <c r="C44" s="126"/>
      <c r="D44" s="124"/>
      <c r="E44" s="125"/>
    </row>
    <row r="45" spans="1:5" ht="12.95" customHeight="1">
      <c r="A45" s="29">
        <v>45</v>
      </c>
      <c r="B45" s="24">
        <f t="shared" si="2"/>
        <v>0.57803500000000008</v>
      </c>
      <c r="C45" s="126"/>
      <c r="D45" s="124"/>
      <c r="E45" s="125"/>
    </row>
    <row r="46" spans="1:5" ht="12.95" customHeight="1">
      <c r="A46" s="29">
        <v>50</v>
      </c>
      <c r="B46" s="24">
        <f t="shared" si="2"/>
        <v>0.54849999999999999</v>
      </c>
      <c r="C46" s="126"/>
      <c r="D46" s="124"/>
      <c r="E46" s="125"/>
    </row>
    <row r="47" spans="1:5" ht="12.95" customHeight="1">
      <c r="A47" s="29">
        <v>55</v>
      </c>
      <c r="B47" s="24">
        <f t="shared" si="2"/>
        <v>0.52243499999999998</v>
      </c>
      <c r="C47" s="126"/>
      <c r="D47" s="124"/>
      <c r="E47" s="125"/>
    </row>
    <row r="48" spans="1:5" ht="12.95" customHeight="1">
      <c r="A48" s="29">
        <v>60</v>
      </c>
      <c r="B48" s="24">
        <f t="shared" si="2"/>
        <v>0.49984000000000006</v>
      </c>
      <c r="C48" s="126"/>
      <c r="D48" s="124"/>
      <c r="E48" s="125"/>
    </row>
    <row r="49" spans="1:5" ht="12.95" customHeight="1">
      <c r="A49" s="30">
        <v>90</v>
      </c>
      <c r="B49" s="26">
        <f>0.00000154*A49^2-0.00194*A49+0.61</f>
        <v>0.44787399999999999</v>
      </c>
      <c r="C49" s="126"/>
      <c r="D49" s="124"/>
      <c r="E49" s="125"/>
    </row>
    <row r="50" spans="1:5" ht="12.95" customHeight="1">
      <c r="A50" s="30">
        <v>120</v>
      </c>
      <c r="B50" s="26">
        <f t="shared" ref="B50:B64" si="3">0.00000154*A50^2-0.00194*A50+0.61</f>
        <v>0.39937599999999995</v>
      </c>
      <c r="C50" s="126"/>
      <c r="D50" s="124"/>
      <c r="E50" s="125"/>
    </row>
    <row r="51" spans="1:5" ht="12.95" customHeight="1">
      <c r="A51" s="30">
        <v>150</v>
      </c>
      <c r="B51" s="26">
        <f t="shared" si="3"/>
        <v>0.35364999999999996</v>
      </c>
      <c r="C51" s="126"/>
      <c r="D51" s="124"/>
      <c r="E51" s="125"/>
    </row>
    <row r="52" spans="1:5" ht="12.95" customHeight="1">
      <c r="A52" s="30">
        <v>180</v>
      </c>
      <c r="B52" s="26">
        <f t="shared" si="3"/>
        <v>0.31069599999999997</v>
      </c>
      <c r="C52" s="126"/>
      <c r="D52" s="124"/>
      <c r="E52" s="125"/>
    </row>
    <row r="53" spans="1:5" ht="12.95" customHeight="1">
      <c r="A53" s="30">
        <v>210</v>
      </c>
      <c r="B53" s="26">
        <f t="shared" si="3"/>
        <v>0.27051399999999992</v>
      </c>
      <c r="C53" s="126"/>
      <c r="D53" s="124"/>
      <c r="E53" s="125"/>
    </row>
    <row r="54" spans="1:5" ht="12.95" customHeight="1">
      <c r="A54" s="30">
        <v>240</v>
      </c>
      <c r="B54" s="26">
        <f t="shared" si="3"/>
        <v>0.23310399999999998</v>
      </c>
      <c r="C54" s="126"/>
      <c r="D54" s="124"/>
      <c r="E54" s="125"/>
    </row>
    <row r="55" spans="1:5" ht="12.95" customHeight="1">
      <c r="A55" s="30">
        <v>270</v>
      </c>
      <c r="B55" s="26">
        <f t="shared" si="3"/>
        <v>0.19846599999999992</v>
      </c>
      <c r="C55" s="126"/>
      <c r="D55" s="124"/>
      <c r="E55" s="125"/>
    </row>
    <row r="56" spans="1:5" ht="12.95" customHeight="1">
      <c r="A56" s="30">
        <v>300</v>
      </c>
      <c r="B56" s="26">
        <f t="shared" si="3"/>
        <v>0.16659999999999991</v>
      </c>
      <c r="C56" s="126"/>
      <c r="D56" s="124"/>
      <c r="E56" s="125"/>
    </row>
    <row r="57" spans="1:5" ht="12.95" customHeight="1">
      <c r="A57" s="30">
        <v>330</v>
      </c>
      <c r="B57" s="26">
        <f t="shared" si="3"/>
        <v>0.13750600000000002</v>
      </c>
      <c r="C57" s="126"/>
      <c r="D57" s="124"/>
      <c r="E57" s="125"/>
    </row>
    <row r="58" spans="1:5" ht="12.95" customHeight="1">
      <c r="A58" s="30">
        <v>360</v>
      </c>
      <c r="B58" s="26">
        <f t="shared" si="3"/>
        <v>0.11118399999999995</v>
      </c>
      <c r="C58" s="126"/>
      <c r="D58" s="124"/>
      <c r="E58" s="125"/>
    </row>
    <row r="59" spans="1:5" ht="12.95" customHeight="1">
      <c r="A59" s="30">
        <v>450</v>
      </c>
      <c r="B59" s="26">
        <f t="shared" si="3"/>
        <v>4.8849999999999949E-2</v>
      </c>
      <c r="C59" s="126"/>
      <c r="D59" s="124"/>
      <c r="E59" s="125"/>
    </row>
    <row r="60" spans="1:5" ht="12.95" customHeight="1">
      <c r="A60" s="30">
        <v>480</v>
      </c>
      <c r="B60" s="26">
        <f t="shared" si="3"/>
        <v>3.3615999999999979E-2</v>
      </c>
      <c r="C60" s="126"/>
      <c r="D60" s="124"/>
      <c r="E60" s="125"/>
    </row>
    <row r="61" spans="1:5" ht="12.95" customHeight="1">
      <c r="A61" s="30">
        <v>510</v>
      </c>
      <c r="B61" s="26">
        <f t="shared" si="3"/>
        <v>2.1154000000000006E-2</v>
      </c>
      <c r="C61" s="126"/>
      <c r="D61" s="124"/>
      <c r="E61" s="125"/>
    </row>
    <row r="62" spans="1:5" ht="12.95" customHeight="1">
      <c r="A62" s="30">
        <v>540</v>
      </c>
      <c r="B62" s="26">
        <f t="shared" si="3"/>
        <v>1.1463999999999919E-2</v>
      </c>
      <c r="C62" s="126"/>
      <c r="D62" s="124"/>
      <c r="E62" s="125"/>
    </row>
    <row r="63" spans="1:5" ht="12.95" customHeight="1">
      <c r="A63" s="30">
        <v>570</v>
      </c>
      <c r="B63" s="26">
        <f t="shared" si="3"/>
        <v>4.545999999999939E-3</v>
      </c>
      <c r="C63" s="126"/>
      <c r="D63" s="124"/>
      <c r="E63" s="125"/>
    </row>
    <row r="64" spans="1:5" ht="12.95" customHeight="1" thickBot="1">
      <c r="A64" s="84">
        <v>600</v>
      </c>
      <c r="B64" s="141">
        <f t="shared" si="3"/>
        <v>3.9999999999984492E-4</v>
      </c>
      <c r="C64" s="127"/>
      <c r="D64" s="128"/>
      <c r="E64" s="129"/>
    </row>
    <row r="65" spans="1:5" ht="12.95" customHeight="1" thickTop="1"/>
    <row r="66" spans="1:5" ht="12.95" customHeight="1" thickBot="1"/>
    <row r="67" spans="1:5" ht="30" customHeight="1" thickTop="1">
      <c r="A67" s="8" t="s">
        <v>12</v>
      </c>
      <c r="B67" s="9">
        <v>37</v>
      </c>
      <c r="C67" s="10" t="s">
        <v>10</v>
      </c>
      <c r="D67" s="11" t="s">
        <v>191</v>
      </c>
      <c r="E67" s="12" t="s">
        <v>143</v>
      </c>
    </row>
    <row r="68" spans="1:5" ht="30" customHeight="1">
      <c r="A68" s="13" t="s">
        <v>7</v>
      </c>
      <c r="B68" s="1" t="s">
        <v>146</v>
      </c>
      <c r="C68" s="60"/>
      <c r="D68" s="2" t="s">
        <v>192</v>
      </c>
      <c r="E68" s="108" t="s">
        <v>144</v>
      </c>
    </row>
    <row r="69" spans="1:5" ht="30" customHeight="1">
      <c r="A69" s="13" t="s">
        <v>15</v>
      </c>
      <c r="B69" s="1"/>
      <c r="C69" s="60"/>
      <c r="D69" s="2"/>
      <c r="E69" s="61"/>
    </row>
    <row r="70" spans="1:5" ht="30" customHeight="1" thickBot="1">
      <c r="A70" s="13" t="s">
        <v>8</v>
      </c>
      <c r="B70" s="17" t="s">
        <v>93</v>
      </c>
      <c r="C70" s="62"/>
      <c r="D70" s="63"/>
      <c r="E70" s="64"/>
    </row>
    <row r="71" spans="1:5" ht="30" customHeight="1">
      <c r="A71" s="13" t="s">
        <v>9</v>
      </c>
      <c r="B71" s="1" t="s">
        <v>171</v>
      </c>
      <c r="C71" s="4" t="s">
        <v>11</v>
      </c>
      <c r="D71" s="6">
        <v>210</v>
      </c>
      <c r="E71" s="65"/>
    </row>
    <row r="72" spans="1:5" ht="30" customHeight="1" thickBot="1">
      <c r="A72" s="14" t="s">
        <v>16</v>
      </c>
      <c r="B72" s="20" t="s">
        <v>17</v>
      </c>
      <c r="C72" s="5" t="s">
        <v>0</v>
      </c>
      <c r="D72" s="7">
        <f>IF(D71&lt;0,"valor del indicador fuera de rango",IF(D71&lt;=60,(0.0000694*(D71^2)-(0.0125*D71)+1),IF(D71&lt;=600,((0.00000154*D71^2)-(0.00194*D71)+0.61),"valor del indicador fuera rango")))</f>
        <v>0.27051399999999992</v>
      </c>
      <c r="E72" s="66"/>
    </row>
    <row r="73" spans="1:5" ht="30" customHeight="1">
      <c r="A73" s="15" t="s">
        <v>14</v>
      </c>
      <c r="B73" s="3" t="s">
        <v>0</v>
      </c>
      <c r="C73" s="147" t="s">
        <v>13</v>
      </c>
      <c r="D73" s="148"/>
      <c r="E73" s="149"/>
    </row>
    <row r="74" spans="1:5" ht="12.95" customHeight="1">
      <c r="A74" s="29">
        <v>0</v>
      </c>
      <c r="B74" s="24">
        <f>0.0000694*A74^2-0.0125*A74+1</f>
        <v>1</v>
      </c>
      <c r="C74" s="124"/>
      <c r="D74" s="124"/>
      <c r="E74" s="125"/>
    </row>
    <row r="75" spans="1:5" ht="12.95" customHeight="1">
      <c r="A75" s="29">
        <v>10</v>
      </c>
      <c r="B75" s="24">
        <f>0.0000694*A75^2-0.0125*A75+1</f>
        <v>0.88193999999999995</v>
      </c>
      <c r="C75" s="126"/>
      <c r="D75" s="124"/>
      <c r="E75" s="125"/>
    </row>
    <row r="76" spans="1:5" ht="12.95" customHeight="1">
      <c r="A76" s="29">
        <v>20</v>
      </c>
      <c r="B76" s="24">
        <f>0.0000694*A76^2-0.0125*A76+1</f>
        <v>0.77776000000000001</v>
      </c>
      <c r="C76" s="126"/>
      <c r="D76" s="124"/>
      <c r="E76" s="125"/>
    </row>
    <row r="77" spans="1:5" ht="12.95" customHeight="1">
      <c r="A77" s="29">
        <v>30</v>
      </c>
      <c r="B77" s="24">
        <f t="shared" ref="B77:B82" si="4">0.0000694*A77^2-0.0125*A77+1</f>
        <v>0.68745999999999996</v>
      </c>
      <c r="C77" s="126"/>
      <c r="D77" s="124"/>
      <c r="E77" s="125"/>
    </row>
    <row r="78" spans="1:5" ht="12.95" customHeight="1">
      <c r="A78" s="29">
        <v>40</v>
      </c>
      <c r="B78" s="24">
        <f t="shared" si="4"/>
        <v>0.61104000000000003</v>
      </c>
      <c r="C78" s="126"/>
      <c r="D78" s="124"/>
      <c r="E78" s="125"/>
    </row>
    <row r="79" spans="1:5" ht="12.95" customHeight="1">
      <c r="A79" s="29">
        <v>45</v>
      </c>
      <c r="B79" s="24">
        <f t="shared" si="4"/>
        <v>0.57803500000000008</v>
      </c>
      <c r="C79" s="126"/>
      <c r="D79" s="124"/>
      <c r="E79" s="125"/>
    </row>
    <row r="80" spans="1:5" ht="12.95" customHeight="1">
      <c r="A80" s="29">
        <v>50</v>
      </c>
      <c r="B80" s="24">
        <f t="shared" si="4"/>
        <v>0.54849999999999999</v>
      </c>
      <c r="C80" s="126"/>
      <c r="D80" s="124"/>
      <c r="E80" s="125"/>
    </row>
    <row r="81" spans="1:5" ht="12.95" customHeight="1">
      <c r="A81" s="29">
        <v>55</v>
      </c>
      <c r="B81" s="24">
        <f t="shared" si="4"/>
        <v>0.52243499999999998</v>
      </c>
      <c r="C81" s="126"/>
      <c r="D81" s="124"/>
      <c r="E81" s="125"/>
    </row>
    <row r="82" spans="1:5" ht="12.95" customHeight="1">
      <c r="A82" s="29">
        <v>60</v>
      </c>
      <c r="B82" s="24">
        <f t="shared" si="4"/>
        <v>0.49984000000000006</v>
      </c>
      <c r="C82" s="126"/>
      <c r="D82" s="124"/>
      <c r="E82" s="125"/>
    </row>
    <row r="83" spans="1:5" ht="12.95" customHeight="1">
      <c r="A83" s="30">
        <v>90</v>
      </c>
      <c r="B83" s="26">
        <f>0.00000154*A83^2-0.00194*A83+0.61</f>
        <v>0.44787399999999999</v>
      </c>
      <c r="C83" s="126"/>
      <c r="D83" s="124"/>
      <c r="E83" s="125"/>
    </row>
    <row r="84" spans="1:5" ht="12.95" customHeight="1">
      <c r="A84" s="30">
        <v>120</v>
      </c>
      <c r="B84" s="26">
        <f t="shared" ref="B84:B98" si="5">0.00000154*A84^2-0.00194*A84+0.61</f>
        <v>0.39937599999999995</v>
      </c>
      <c r="C84" s="126"/>
      <c r="D84" s="124"/>
      <c r="E84" s="125"/>
    </row>
    <row r="85" spans="1:5" ht="12.95" customHeight="1">
      <c r="A85" s="30">
        <v>150</v>
      </c>
      <c r="B85" s="26">
        <f t="shared" si="5"/>
        <v>0.35364999999999996</v>
      </c>
      <c r="C85" s="126"/>
      <c r="D85" s="124"/>
      <c r="E85" s="125"/>
    </row>
    <row r="86" spans="1:5" ht="12.95" customHeight="1">
      <c r="A86" s="30">
        <v>180</v>
      </c>
      <c r="B86" s="26">
        <f t="shared" si="5"/>
        <v>0.31069599999999997</v>
      </c>
      <c r="C86" s="126"/>
      <c r="D86" s="124"/>
      <c r="E86" s="125"/>
    </row>
    <row r="87" spans="1:5" ht="12.95" customHeight="1">
      <c r="A87" s="30">
        <v>210</v>
      </c>
      <c r="B87" s="26">
        <f t="shared" si="5"/>
        <v>0.27051399999999992</v>
      </c>
      <c r="C87" s="126"/>
      <c r="D87" s="124"/>
      <c r="E87" s="125"/>
    </row>
    <row r="88" spans="1:5" ht="12.95" customHeight="1">
      <c r="A88" s="30">
        <v>240</v>
      </c>
      <c r="B88" s="26">
        <f t="shared" si="5"/>
        <v>0.23310399999999998</v>
      </c>
      <c r="C88" s="126"/>
      <c r="D88" s="124"/>
      <c r="E88" s="125"/>
    </row>
    <row r="89" spans="1:5" ht="12.95" customHeight="1">
      <c r="A89" s="30">
        <v>270</v>
      </c>
      <c r="B89" s="26">
        <f t="shared" si="5"/>
        <v>0.19846599999999992</v>
      </c>
      <c r="C89" s="126"/>
      <c r="D89" s="124"/>
      <c r="E89" s="125"/>
    </row>
    <row r="90" spans="1:5" ht="12.95" customHeight="1">
      <c r="A90" s="30">
        <v>300</v>
      </c>
      <c r="B90" s="26">
        <f t="shared" si="5"/>
        <v>0.16659999999999991</v>
      </c>
      <c r="C90" s="126"/>
      <c r="D90" s="124"/>
      <c r="E90" s="125"/>
    </row>
    <row r="91" spans="1:5" ht="12.95" customHeight="1">
      <c r="A91" s="30">
        <v>330</v>
      </c>
      <c r="B91" s="26">
        <f t="shared" si="5"/>
        <v>0.13750600000000002</v>
      </c>
      <c r="C91" s="126"/>
      <c r="D91" s="124"/>
      <c r="E91" s="125"/>
    </row>
    <row r="92" spans="1:5" ht="12.95" customHeight="1">
      <c r="A92" s="30">
        <v>360</v>
      </c>
      <c r="B92" s="26">
        <f t="shared" si="5"/>
        <v>0.11118399999999995</v>
      </c>
      <c r="C92" s="126"/>
      <c r="D92" s="124"/>
      <c r="E92" s="125"/>
    </row>
    <row r="93" spans="1:5" ht="12.95" customHeight="1">
      <c r="A93" s="30">
        <v>450</v>
      </c>
      <c r="B93" s="26">
        <f t="shared" si="5"/>
        <v>4.8849999999999949E-2</v>
      </c>
      <c r="C93" s="126"/>
      <c r="D93" s="124"/>
      <c r="E93" s="125"/>
    </row>
    <row r="94" spans="1:5" ht="12.95" customHeight="1">
      <c r="A94" s="30">
        <v>480</v>
      </c>
      <c r="B94" s="26">
        <f t="shared" si="5"/>
        <v>3.3615999999999979E-2</v>
      </c>
      <c r="C94" s="126"/>
      <c r="D94" s="124"/>
      <c r="E94" s="125"/>
    </row>
    <row r="95" spans="1:5" ht="12.95" customHeight="1">
      <c r="A95" s="30">
        <v>510</v>
      </c>
      <c r="B95" s="26">
        <f t="shared" si="5"/>
        <v>2.1154000000000006E-2</v>
      </c>
      <c r="C95" s="126"/>
      <c r="D95" s="124"/>
      <c r="E95" s="125"/>
    </row>
    <row r="96" spans="1:5" ht="12.95" customHeight="1">
      <c r="A96" s="30">
        <v>540</v>
      </c>
      <c r="B96" s="26">
        <f t="shared" si="5"/>
        <v>1.1463999999999919E-2</v>
      </c>
      <c r="C96" s="126"/>
      <c r="D96" s="124"/>
      <c r="E96" s="125"/>
    </row>
    <row r="97" spans="1:5" ht="12.95" customHeight="1">
      <c r="A97" s="30">
        <v>570</v>
      </c>
      <c r="B97" s="26">
        <f t="shared" si="5"/>
        <v>4.545999999999939E-3</v>
      </c>
      <c r="C97" s="126"/>
      <c r="D97" s="124"/>
      <c r="E97" s="125"/>
    </row>
    <row r="98" spans="1:5" ht="12.95" customHeight="1" thickBot="1">
      <c r="A98" s="84">
        <v>600</v>
      </c>
      <c r="B98" s="141">
        <f t="shared" si="5"/>
        <v>3.9999999999984492E-4</v>
      </c>
      <c r="C98" s="127"/>
      <c r="D98" s="128"/>
      <c r="E98" s="129"/>
    </row>
    <row r="99" spans="1:5" ht="12.95" customHeight="1" thickTop="1"/>
    <row r="100" spans="1:5" ht="12.95" customHeight="1" thickBot="1"/>
    <row r="101" spans="1:5" ht="30" customHeight="1" thickTop="1">
      <c r="A101" s="8" t="s">
        <v>12</v>
      </c>
      <c r="B101" s="9">
        <v>38</v>
      </c>
      <c r="C101" s="10" t="s">
        <v>10</v>
      </c>
      <c r="D101" s="11" t="s">
        <v>165</v>
      </c>
      <c r="E101" s="12" t="s">
        <v>23</v>
      </c>
    </row>
    <row r="102" spans="1:5" ht="30" customHeight="1">
      <c r="A102" s="13" t="s">
        <v>7</v>
      </c>
      <c r="B102" s="1" t="s">
        <v>147</v>
      </c>
      <c r="C102" s="60"/>
      <c r="D102" s="2"/>
      <c r="E102" s="61"/>
    </row>
    <row r="103" spans="1:5" ht="30" customHeight="1">
      <c r="A103" s="13" t="s">
        <v>15</v>
      </c>
      <c r="B103" s="1"/>
      <c r="C103" s="60"/>
      <c r="D103" s="2"/>
      <c r="E103" s="61"/>
    </row>
    <row r="104" spans="1:5" ht="30" customHeight="1" thickBot="1">
      <c r="A104" s="13" t="s">
        <v>8</v>
      </c>
      <c r="B104" s="1" t="s">
        <v>47</v>
      </c>
      <c r="C104" s="62"/>
      <c r="D104" s="63"/>
      <c r="E104" s="64"/>
    </row>
    <row r="105" spans="1:5" ht="30" customHeight="1">
      <c r="A105" s="13" t="s">
        <v>9</v>
      </c>
      <c r="B105" s="1" t="s">
        <v>86</v>
      </c>
      <c r="C105" s="4" t="s">
        <v>11</v>
      </c>
      <c r="D105" s="6">
        <v>40</v>
      </c>
      <c r="E105" s="65"/>
    </row>
    <row r="106" spans="1:5" ht="30" customHeight="1" thickBot="1">
      <c r="A106" s="14" t="s">
        <v>16</v>
      </c>
      <c r="B106" s="20" t="s">
        <v>17</v>
      </c>
      <c r="C106" s="5" t="s">
        <v>0</v>
      </c>
      <c r="D106" s="7">
        <f>IF(D105&lt;0,"valor del indicador fuera de rango",IF(D105&lt;=100,((-0.01*D105)+(1)),"valor del indicador fuera rango"))</f>
        <v>0.6</v>
      </c>
      <c r="E106" s="66"/>
    </row>
    <row r="107" spans="1:5" ht="30" customHeight="1">
      <c r="A107" s="15" t="s">
        <v>14</v>
      </c>
      <c r="B107" s="3" t="s">
        <v>0</v>
      </c>
      <c r="C107" s="147" t="s">
        <v>13</v>
      </c>
      <c r="D107" s="148"/>
      <c r="E107" s="149"/>
    </row>
    <row r="108" spans="1:5" ht="12.95" customHeight="1">
      <c r="A108" s="28">
        <v>0</v>
      </c>
      <c r="B108" s="24">
        <f>-0.01*A108+1</f>
        <v>1</v>
      </c>
      <c r="C108" s="124"/>
      <c r="D108" s="124"/>
      <c r="E108" s="125"/>
    </row>
    <row r="109" spans="1:5" ht="12.95" customHeight="1">
      <c r="A109" s="29">
        <f>A108+5</f>
        <v>5</v>
      </c>
      <c r="B109" s="24">
        <f t="shared" ref="B109:B124" si="6">-0.01*A109+1</f>
        <v>0.95</v>
      </c>
      <c r="C109" s="126"/>
      <c r="D109" s="124"/>
      <c r="E109" s="125"/>
    </row>
    <row r="110" spans="1:5" ht="12.95" customHeight="1">
      <c r="A110" s="29">
        <f t="shared" ref="A110:A120" si="7">A109+5</f>
        <v>10</v>
      </c>
      <c r="B110" s="24">
        <f t="shared" si="6"/>
        <v>0.9</v>
      </c>
      <c r="C110" s="126"/>
      <c r="D110" s="124"/>
      <c r="E110" s="125"/>
    </row>
    <row r="111" spans="1:5" ht="12.95" customHeight="1">
      <c r="A111" s="29">
        <f t="shared" si="7"/>
        <v>15</v>
      </c>
      <c r="B111" s="24">
        <f t="shared" si="6"/>
        <v>0.85</v>
      </c>
      <c r="C111" s="126"/>
      <c r="D111" s="124"/>
      <c r="E111" s="125"/>
    </row>
    <row r="112" spans="1:5" ht="12.95" customHeight="1">
      <c r="A112" s="29">
        <f t="shared" si="7"/>
        <v>20</v>
      </c>
      <c r="B112" s="24">
        <f t="shared" si="6"/>
        <v>0.8</v>
      </c>
      <c r="C112" s="126"/>
      <c r="D112" s="124"/>
      <c r="E112" s="125"/>
    </row>
    <row r="113" spans="1:5" ht="12.95" customHeight="1">
      <c r="A113" s="29">
        <f t="shared" si="7"/>
        <v>25</v>
      </c>
      <c r="B113" s="24">
        <f t="shared" si="6"/>
        <v>0.75</v>
      </c>
      <c r="C113" s="126"/>
      <c r="D113" s="124"/>
      <c r="E113" s="125"/>
    </row>
    <row r="114" spans="1:5" ht="12.95" customHeight="1">
      <c r="A114" s="29">
        <f t="shared" si="7"/>
        <v>30</v>
      </c>
      <c r="B114" s="24">
        <f t="shared" si="6"/>
        <v>0.7</v>
      </c>
      <c r="C114" s="126"/>
      <c r="D114" s="124"/>
      <c r="E114" s="125"/>
    </row>
    <row r="115" spans="1:5" ht="12.95" customHeight="1">
      <c r="A115" s="29">
        <f t="shared" si="7"/>
        <v>35</v>
      </c>
      <c r="B115" s="24">
        <f t="shared" si="6"/>
        <v>0.64999999999999991</v>
      </c>
      <c r="C115" s="126"/>
      <c r="D115" s="124"/>
      <c r="E115" s="125"/>
    </row>
    <row r="116" spans="1:5" ht="12.95" customHeight="1">
      <c r="A116" s="29">
        <f t="shared" si="7"/>
        <v>40</v>
      </c>
      <c r="B116" s="24">
        <f t="shared" si="6"/>
        <v>0.6</v>
      </c>
      <c r="C116" s="126"/>
      <c r="D116" s="124"/>
      <c r="E116" s="125"/>
    </row>
    <row r="117" spans="1:5" ht="12.95" customHeight="1">
      <c r="A117" s="29">
        <f t="shared" si="7"/>
        <v>45</v>
      </c>
      <c r="B117" s="24">
        <f t="shared" si="6"/>
        <v>0.55000000000000004</v>
      </c>
      <c r="C117" s="126"/>
      <c r="D117" s="124"/>
      <c r="E117" s="125"/>
    </row>
    <row r="118" spans="1:5" ht="12.95" customHeight="1">
      <c r="A118" s="29">
        <f t="shared" si="7"/>
        <v>50</v>
      </c>
      <c r="B118" s="24">
        <f t="shared" si="6"/>
        <v>0.5</v>
      </c>
      <c r="C118" s="126"/>
      <c r="D118" s="124"/>
      <c r="E118" s="125"/>
    </row>
    <row r="119" spans="1:5" ht="12.95" customHeight="1">
      <c r="A119" s="29">
        <f t="shared" si="7"/>
        <v>55</v>
      </c>
      <c r="B119" s="24">
        <f t="shared" si="6"/>
        <v>0.44999999999999996</v>
      </c>
      <c r="C119" s="126"/>
      <c r="D119" s="124"/>
      <c r="E119" s="125"/>
    </row>
    <row r="120" spans="1:5" ht="12.95" customHeight="1">
      <c r="A120" s="29">
        <f t="shared" si="7"/>
        <v>60</v>
      </c>
      <c r="B120" s="24">
        <f t="shared" si="6"/>
        <v>0.4</v>
      </c>
      <c r="C120" s="126"/>
      <c r="D120" s="124"/>
      <c r="E120" s="125"/>
    </row>
    <row r="121" spans="1:5" ht="12.95" customHeight="1">
      <c r="A121" s="29">
        <v>70</v>
      </c>
      <c r="B121" s="24">
        <f t="shared" si="6"/>
        <v>0.29999999999999993</v>
      </c>
      <c r="C121" s="126"/>
      <c r="D121" s="124"/>
      <c r="E121" s="125"/>
    </row>
    <row r="122" spans="1:5" ht="12.95" customHeight="1">
      <c r="A122" s="29">
        <v>80</v>
      </c>
      <c r="B122" s="24">
        <f t="shared" si="6"/>
        <v>0.19999999999999996</v>
      </c>
      <c r="C122" s="126"/>
      <c r="D122" s="124"/>
      <c r="E122" s="125"/>
    </row>
    <row r="123" spans="1:5" ht="12.95" customHeight="1">
      <c r="A123" s="29">
        <v>90</v>
      </c>
      <c r="B123" s="24">
        <f t="shared" si="6"/>
        <v>9.9999999999999978E-2</v>
      </c>
      <c r="C123" s="126"/>
      <c r="D123" s="124"/>
      <c r="E123" s="125"/>
    </row>
    <row r="124" spans="1:5" ht="12.95" customHeight="1" thickBot="1">
      <c r="A124" s="56">
        <v>100</v>
      </c>
      <c r="B124" s="59">
        <f t="shared" si="6"/>
        <v>0</v>
      </c>
      <c r="C124" s="127"/>
      <c r="D124" s="128"/>
      <c r="E124" s="129"/>
    </row>
    <row r="125" spans="1:5" ht="12.95" customHeight="1" thickTop="1"/>
    <row r="126" spans="1:5" ht="12.95" customHeight="1" thickBot="1"/>
    <row r="127" spans="1:5" ht="30" customHeight="1" thickTop="1">
      <c r="A127" s="8" t="s">
        <v>12</v>
      </c>
      <c r="B127" s="9">
        <v>39</v>
      </c>
      <c r="C127" s="10" t="s">
        <v>10</v>
      </c>
      <c r="D127" s="11" t="s">
        <v>109</v>
      </c>
      <c r="E127" s="12" t="s">
        <v>149</v>
      </c>
    </row>
    <row r="128" spans="1:5" ht="30" customHeight="1">
      <c r="A128" s="13" t="s">
        <v>7</v>
      </c>
      <c r="B128" s="1" t="s">
        <v>148</v>
      </c>
      <c r="C128" s="60"/>
      <c r="D128" s="2" t="s">
        <v>193</v>
      </c>
      <c r="E128" s="61" t="s">
        <v>150</v>
      </c>
    </row>
    <row r="129" spans="1:5" ht="30" customHeight="1">
      <c r="A129" s="13" t="s">
        <v>15</v>
      </c>
      <c r="B129" s="1"/>
      <c r="C129" s="60"/>
      <c r="D129" s="2" t="s">
        <v>194</v>
      </c>
      <c r="E129" s="61" t="s">
        <v>151</v>
      </c>
    </row>
    <row r="130" spans="1:5" ht="30" customHeight="1" thickBot="1">
      <c r="A130" s="13" t="s">
        <v>8</v>
      </c>
      <c r="B130" s="1" t="s">
        <v>156</v>
      </c>
      <c r="C130" s="62"/>
      <c r="D130" s="63"/>
      <c r="E130" s="64"/>
    </row>
    <row r="131" spans="1:5" ht="30" customHeight="1">
      <c r="A131" s="13" t="s">
        <v>9</v>
      </c>
      <c r="B131" s="1" t="s">
        <v>172</v>
      </c>
      <c r="C131" s="4" t="s">
        <v>11</v>
      </c>
      <c r="D131" s="6">
        <v>9.5</v>
      </c>
      <c r="E131" s="65"/>
    </row>
    <row r="132" spans="1:5" ht="30" customHeight="1" thickBot="1">
      <c r="A132" s="14" t="s">
        <v>16</v>
      </c>
      <c r="B132" s="20" t="s">
        <v>17</v>
      </c>
      <c r="C132" s="5" t="s">
        <v>0</v>
      </c>
      <c r="D132" s="7">
        <f>IF(D131&lt;0,"valor del indicador fuera de rango",IF(D131&lt;=2.5,1,IF(D131&lt;=9,-0.0118*(D131^2)+(0.0592*D131)+0.926,IF(D131&lt;=10,-0.0556*(D131^2)+(0.556*D131),"valor del indicador fuera rango"))))</f>
        <v>0.2641</v>
      </c>
      <c r="E132" s="66"/>
    </row>
    <row r="133" spans="1:5" ht="30" customHeight="1">
      <c r="A133" s="15" t="s">
        <v>14</v>
      </c>
      <c r="B133" s="3" t="s">
        <v>0</v>
      </c>
      <c r="C133" s="147" t="s">
        <v>13</v>
      </c>
      <c r="D133" s="148"/>
      <c r="E133" s="149"/>
    </row>
    <row r="134" spans="1:5" ht="12.95" customHeight="1">
      <c r="A134" s="130">
        <v>0</v>
      </c>
      <c r="B134" s="24">
        <f>1</f>
        <v>1</v>
      </c>
      <c r="C134" s="124"/>
      <c r="D134" s="124"/>
      <c r="E134" s="125"/>
    </row>
    <row r="135" spans="1:5" ht="12.95" customHeight="1">
      <c r="A135" s="131">
        <v>0.5</v>
      </c>
      <c r="B135" s="24">
        <f>1</f>
        <v>1</v>
      </c>
      <c r="C135" s="126"/>
      <c r="D135" s="124"/>
      <c r="E135" s="125"/>
    </row>
    <row r="136" spans="1:5" ht="12.95" customHeight="1">
      <c r="A136" s="131">
        <v>1</v>
      </c>
      <c r="B136" s="24">
        <f>1</f>
        <v>1</v>
      </c>
      <c r="C136" s="126"/>
      <c r="D136" s="124"/>
      <c r="E136" s="125"/>
    </row>
    <row r="137" spans="1:5" ht="12.95" customHeight="1">
      <c r="A137" s="131">
        <v>1.5</v>
      </c>
      <c r="B137" s="24">
        <f>1</f>
        <v>1</v>
      </c>
      <c r="C137" s="126"/>
      <c r="D137" s="124"/>
      <c r="E137" s="125"/>
    </row>
    <row r="138" spans="1:5" ht="12.95" customHeight="1">
      <c r="A138" s="131">
        <v>2</v>
      </c>
      <c r="B138" s="24">
        <f>1</f>
        <v>1</v>
      </c>
      <c r="C138" s="126"/>
      <c r="D138" s="124"/>
      <c r="E138" s="125"/>
    </row>
    <row r="139" spans="1:5" ht="12.95" customHeight="1">
      <c r="A139" s="131">
        <v>2.5</v>
      </c>
      <c r="B139" s="24">
        <f>1</f>
        <v>1</v>
      </c>
      <c r="C139" s="126"/>
      <c r="D139" s="124"/>
      <c r="E139" s="125"/>
    </row>
    <row r="140" spans="1:5" ht="12.95" customHeight="1">
      <c r="A140" s="132">
        <v>3</v>
      </c>
      <c r="B140" s="26">
        <f>-0.0118*A140^2+0.0592*A140+0.926</f>
        <v>0.99740000000000006</v>
      </c>
      <c r="C140" s="126"/>
      <c r="D140" s="124"/>
      <c r="E140" s="125"/>
    </row>
    <row r="141" spans="1:5" ht="12.95" customHeight="1">
      <c r="A141" s="132">
        <v>3.5</v>
      </c>
      <c r="B141" s="26">
        <f t="shared" ref="B141:B151" si="8">-0.0118*A141^2+0.0592*A141+0.926</f>
        <v>0.98865000000000003</v>
      </c>
      <c r="C141" s="126"/>
      <c r="D141" s="124"/>
      <c r="E141" s="125"/>
    </row>
    <row r="142" spans="1:5" ht="12.95" customHeight="1">
      <c r="A142" s="132">
        <v>4</v>
      </c>
      <c r="B142" s="26">
        <f t="shared" si="8"/>
        <v>0.97400000000000009</v>
      </c>
      <c r="C142" s="126"/>
      <c r="D142" s="124"/>
      <c r="E142" s="125"/>
    </row>
    <row r="143" spans="1:5" ht="12.95" customHeight="1">
      <c r="A143" s="132">
        <v>4.5</v>
      </c>
      <c r="B143" s="26">
        <f t="shared" si="8"/>
        <v>0.95345000000000013</v>
      </c>
      <c r="C143" s="126"/>
      <c r="D143" s="124"/>
      <c r="E143" s="125"/>
    </row>
    <row r="144" spans="1:5" ht="12.95" customHeight="1">
      <c r="A144" s="132">
        <v>5</v>
      </c>
      <c r="B144" s="26">
        <f t="shared" si="8"/>
        <v>0.92700000000000005</v>
      </c>
      <c r="C144" s="126"/>
      <c r="D144" s="124"/>
      <c r="E144" s="125"/>
    </row>
    <row r="145" spans="1:5" ht="12.95" customHeight="1">
      <c r="A145" s="132">
        <v>5.5</v>
      </c>
      <c r="B145" s="26">
        <f t="shared" si="8"/>
        <v>0.89465000000000006</v>
      </c>
      <c r="C145" s="126"/>
      <c r="D145" s="124"/>
      <c r="E145" s="125"/>
    </row>
    <row r="146" spans="1:5" ht="12.95" customHeight="1">
      <c r="A146" s="132">
        <v>6</v>
      </c>
      <c r="B146" s="26">
        <f t="shared" si="8"/>
        <v>0.85640000000000005</v>
      </c>
      <c r="C146" s="126"/>
      <c r="D146" s="124"/>
      <c r="E146" s="125"/>
    </row>
    <row r="147" spans="1:5" ht="12.95" customHeight="1">
      <c r="A147" s="132">
        <v>6.5</v>
      </c>
      <c r="B147" s="26">
        <f t="shared" si="8"/>
        <v>0.81225000000000014</v>
      </c>
      <c r="C147" s="126"/>
      <c r="D147" s="124"/>
      <c r="E147" s="125"/>
    </row>
    <row r="148" spans="1:5" ht="12.95" customHeight="1">
      <c r="A148" s="132">
        <v>7</v>
      </c>
      <c r="B148" s="26">
        <f t="shared" si="8"/>
        <v>0.7622000000000001</v>
      </c>
      <c r="C148" s="126"/>
      <c r="D148" s="124"/>
      <c r="E148" s="125"/>
    </row>
    <row r="149" spans="1:5" ht="12.95" customHeight="1">
      <c r="A149" s="132">
        <v>8</v>
      </c>
      <c r="B149" s="26">
        <f t="shared" si="8"/>
        <v>0.64440000000000008</v>
      </c>
      <c r="C149" s="126"/>
      <c r="D149" s="124"/>
      <c r="E149" s="125"/>
    </row>
    <row r="150" spans="1:5" ht="12.95" customHeight="1">
      <c r="A150" s="132">
        <v>8.5</v>
      </c>
      <c r="B150" s="26">
        <f t="shared" si="8"/>
        <v>0.57665</v>
      </c>
      <c r="C150" s="126"/>
      <c r="D150" s="124"/>
      <c r="E150" s="125"/>
    </row>
    <row r="151" spans="1:5" ht="12.95" customHeight="1">
      <c r="A151" s="132">
        <v>9</v>
      </c>
      <c r="B151" s="26">
        <f t="shared" si="8"/>
        <v>0.50300000000000011</v>
      </c>
      <c r="C151" s="126"/>
      <c r="D151" s="124"/>
      <c r="E151" s="125"/>
    </row>
    <row r="152" spans="1:5" ht="12.95" customHeight="1">
      <c r="A152" s="133">
        <v>9.5</v>
      </c>
      <c r="B152" s="27">
        <f>-0.0556*(A152^2)+0.556*(A152)</f>
        <v>0.2641</v>
      </c>
      <c r="C152" s="126"/>
      <c r="D152" s="124"/>
      <c r="E152" s="125"/>
    </row>
    <row r="153" spans="1:5" ht="12.95" customHeight="1" thickBot="1">
      <c r="A153" s="134">
        <v>10</v>
      </c>
      <c r="B153" s="52">
        <f>-0.0556*(A153^2)+0.556*(A153)</f>
        <v>0</v>
      </c>
      <c r="C153" s="127"/>
      <c r="D153" s="128"/>
      <c r="E153" s="129"/>
    </row>
    <row r="154" spans="1:5" ht="12.95" customHeight="1" thickTop="1"/>
  </sheetData>
  <mergeCells count="5">
    <mergeCell ref="C133:E133"/>
    <mergeCell ref="C7:E7"/>
    <mergeCell ref="C39:E39"/>
    <mergeCell ref="C73:E73"/>
    <mergeCell ref="C107:E107"/>
  </mergeCells>
  <phoneticPr fontId="0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0"/>
  <sheetViews>
    <sheetView topLeftCell="B10" zoomScale="75" workbookViewId="0">
      <selection activeCell="D37" sqref="D37"/>
    </sheetView>
  </sheetViews>
  <sheetFormatPr baseColWidth="10" defaultRowHeight="12.95" customHeight="1"/>
  <cols>
    <col min="1" max="1" width="25.83203125" style="46" customWidth="1"/>
    <col min="2" max="2" width="40.83203125" style="46" customWidth="1"/>
    <col min="3" max="5" width="22.83203125" style="46" customWidth="1"/>
    <col min="6" max="16384" width="12" style="46"/>
  </cols>
  <sheetData>
    <row r="1" spans="1:5" s="38" customFormat="1" ht="30" customHeight="1" thickTop="1">
      <c r="A1" s="8" t="s">
        <v>12</v>
      </c>
      <c r="B1" s="32">
        <v>40</v>
      </c>
      <c r="C1" s="10" t="s">
        <v>10</v>
      </c>
      <c r="D1" s="33" t="s">
        <v>109</v>
      </c>
      <c r="E1" s="34" t="s">
        <v>153</v>
      </c>
    </row>
    <row r="2" spans="1:5" s="38" customFormat="1" ht="30" customHeight="1">
      <c r="A2" s="13" t="s">
        <v>7</v>
      </c>
      <c r="B2" s="35" t="s">
        <v>152</v>
      </c>
      <c r="C2" s="39"/>
      <c r="D2" s="36" t="s">
        <v>195</v>
      </c>
      <c r="E2" s="40" t="s">
        <v>154</v>
      </c>
    </row>
    <row r="3" spans="1:5" s="38" customFormat="1" ht="30" customHeight="1">
      <c r="A3" s="13" t="s">
        <v>15</v>
      </c>
      <c r="B3" s="35"/>
      <c r="C3" s="39"/>
      <c r="D3" s="36" t="s">
        <v>196</v>
      </c>
      <c r="E3" s="40" t="s">
        <v>155</v>
      </c>
    </row>
    <row r="4" spans="1:5" s="38" customFormat="1" ht="30" customHeight="1" thickBot="1">
      <c r="A4" s="13" t="s">
        <v>8</v>
      </c>
      <c r="B4" s="35"/>
      <c r="C4" s="41"/>
      <c r="D4" s="42"/>
      <c r="E4" s="43"/>
    </row>
    <row r="5" spans="1:5" s="38" customFormat="1" ht="30" customHeight="1">
      <c r="A5" s="13" t="s">
        <v>9</v>
      </c>
      <c r="B5" s="35" t="s">
        <v>173</v>
      </c>
      <c r="C5" s="4" t="s">
        <v>11</v>
      </c>
      <c r="D5" s="6">
        <v>5</v>
      </c>
      <c r="E5" s="44"/>
    </row>
    <row r="6" spans="1:5" s="38" customFormat="1" ht="30" customHeight="1" thickBot="1">
      <c r="A6" s="14" t="s">
        <v>16</v>
      </c>
      <c r="B6" s="20" t="s">
        <v>184</v>
      </c>
      <c r="C6" s="5" t="s">
        <v>0</v>
      </c>
      <c r="D6" s="7">
        <f>IF(D5&lt;0,"valor del indicador fuera de rango",IF(D5&lt;=2,1,IF(D5&lt;=4,-0.375*(D5)+1.75,IF(D5&lt;=6,-0.125*(D5)+0.75,"valor del indicador fuera rango"))))</f>
        <v>0.125</v>
      </c>
      <c r="E6" s="45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130">
        <v>0</v>
      </c>
      <c r="B8" s="24">
        <f>1</f>
        <v>1</v>
      </c>
      <c r="C8" s="47"/>
      <c r="D8" s="47"/>
      <c r="E8" s="48"/>
    </row>
    <row r="9" spans="1:5" ht="12.95" customHeight="1">
      <c r="A9" s="131">
        <v>0.1</v>
      </c>
      <c r="B9" s="24">
        <f>1</f>
        <v>1</v>
      </c>
      <c r="C9" s="25"/>
      <c r="D9" s="47"/>
      <c r="E9" s="48"/>
    </row>
    <row r="10" spans="1:5" ht="12.95" customHeight="1">
      <c r="A10" s="131">
        <f t="shared" ref="A10:A27" si="0">+A9+0.3</f>
        <v>0.4</v>
      </c>
      <c r="B10" s="24">
        <f>1</f>
        <v>1</v>
      </c>
      <c r="C10" s="25"/>
      <c r="D10" s="47"/>
      <c r="E10" s="48"/>
    </row>
    <row r="11" spans="1:5" ht="12.95" customHeight="1">
      <c r="A11" s="131">
        <f t="shared" si="0"/>
        <v>0.7</v>
      </c>
      <c r="B11" s="24">
        <f>1</f>
        <v>1</v>
      </c>
      <c r="C11" s="25"/>
      <c r="D11" s="47"/>
      <c r="E11" s="48"/>
    </row>
    <row r="12" spans="1:5" ht="12.95" customHeight="1">
      <c r="A12" s="131">
        <f t="shared" si="0"/>
        <v>1</v>
      </c>
      <c r="B12" s="24">
        <f>1</f>
        <v>1</v>
      </c>
      <c r="C12" s="25"/>
      <c r="D12" s="47"/>
      <c r="E12" s="48"/>
    </row>
    <row r="13" spans="1:5" ht="12.95" customHeight="1">
      <c r="A13" s="131">
        <f t="shared" si="0"/>
        <v>1.3</v>
      </c>
      <c r="B13" s="24">
        <f>1</f>
        <v>1</v>
      </c>
      <c r="C13" s="25"/>
      <c r="D13" s="47"/>
      <c r="E13" s="48"/>
    </row>
    <row r="14" spans="1:5" ht="12.95" customHeight="1">
      <c r="A14" s="131">
        <f t="shared" si="0"/>
        <v>1.6</v>
      </c>
      <c r="B14" s="24">
        <f>1</f>
        <v>1</v>
      </c>
      <c r="C14" s="25"/>
      <c r="D14" s="47"/>
      <c r="E14" s="48"/>
    </row>
    <row r="15" spans="1:5" ht="12.95" customHeight="1">
      <c r="A15" s="131">
        <f t="shared" si="0"/>
        <v>1.9000000000000001</v>
      </c>
      <c r="B15" s="24">
        <f>1</f>
        <v>1</v>
      </c>
      <c r="C15" s="25"/>
      <c r="D15" s="47"/>
      <c r="E15" s="48"/>
    </row>
    <row r="16" spans="1:5" ht="12.95" customHeight="1">
      <c r="A16" s="132">
        <f t="shared" si="0"/>
        <v>2.2000000000000002</v>
      </c>
      <c r="B16" s="26">
        <f t="shared" ref="B16:B21" si="1">-0.375*A16+1.75</f>
        <v>0.92499999999999993</v>
      </c>
      <c r="C16" s="25"/>
      <c r="D16" s="47"/>
      <c r="E16" s="48"/>
    </row>
    <row r="17" spans="1:5" ht="12.95" customHeight="1">
      <c r="A17" s="132">
        <f t="shared" si="0"/>
        <v>2.5</v>
      </c>
      <c r="B17" s="26">
        <f t="shared" si="1"/>
        <v>0.8125</v>
      </c>
      <c r="C17" s="25"/>
      <c r="D17" s="47"/>
      <c r="E17" s="48"/>
    </row>
    <row r="18" spans="1:5" ht="12.95" customHeight="1">
      <c r="A18" s="132">
        <f t="shared" si="0"/>
        <v>2.8</v>
      </c>
      <c r="B18" s="26">
        <f t="shared" si="1"/>
        <v>0.70000000000000018</v>
      </c>
      <c r="C18" s="25"/>
      <c r="D18" s="47"/>
      <c r="E18" s="48"/>
    </row>
    <row r="19" spans="1:5" ht="12.95" customHeight="1">
      <c r="A19" s="132">
        <f t="shared" si="0"/>
        <v>3.0999999999999996</v>
      </c>
      <c r="B19" s="26">
        <f t="shared" si="1"/>
        <v>0.58750000000000013</v>
      </c>
      <c r="C19" s="25"/>
      <c r="D19" s="47"/>
      <c r="E19" s="48"/>
    </row>
    <row r="20" spans="1:5" ht="12.95" customHeight="1">
      <c r="A20" s="132">
        <f t="shared" si="0"/>
        <v>3.3999999999999995</v>
      </c>
      <c r="B20" s="26">
        <f t="shared" si="1"/>
        <v>0.47500000000000009</v>
      </c>
      <c r="C20" s="25"/>
      <c r="D20" s="47"/>
      <c r="E20" s="48"/>
    </row>
    <row r="21" spans="1:5" ht="12.95" customHeight="1">
      <c r="A21" s="132">
        <f t="shared" si="0"/>
        <v>3.6999999999999993</v>
      </c>
      <c r="B21" s="26">
        <f t="shared" si="1"/>
        <v>0.36250000000000027</v>
      </c>
      <c r="C21" s="25"/>
      <c r="D21" s="47"/>
      <c r="E21" s="48"/>
    </row>
    <row r="22" spans="1:5" ht="12.95" customHeight="1">
      <c r="A22" s="133">
        <f t="shared" si="0"/>
        <v>3.9999999999999991</v>
      </c>
      <c r="B22" s="27">
        <f t="shared" ref="B22:B29" si="2">-0.125*A22+0.75</f>
        <v>0.25000000000000011</v>
      </c>
      <c r="C22" s="25"/>
      <c r="D22" s="47"/>
      <c r="E22" s="48"/>
    </row>
    <row r="23" spans="1:5" ht="12.95" customHeight="1">
      <c r="A23" s="133">
        <f>+A22+0.3</f>
        <v>4.2999999999999989</v>
      </c>
      <c r="B23" s="27">
        <f t="shared" si="2"/>
        <v>0.21250000000000013</v>
      </c>
      <c r="C23" s="25"/>
      <c r="D23" s="47"/>
      <c r="E23" s="48"/>
    </row>
    <row r="24" spans="1:5" ht="12.95" customHeight="1">
      <c r="A24" s="133">
        <f t="shared" si="0"/>
        <v>4.5999999999999988</v>
      </c>
      <c r="B24" s="27">
        <f t="shared" si="2"/>
        <v>0.17500000000000016</v>
      </c>
      <c r="C24" s="25"/>
      <c r="D24" s="47"/>
      <c r="E24" s="48"/>
    </row>
    <row r="25" spans="1:5" ht="12.95" customHeight="1">
      <c r="A25" s="133">
        <f t="shared" si="0"/>
        <v>4.8999999999999986</v>
      </c>
      <c r="B25" s="27">
        <f t="shared" si="2"/>
        <v>0.13750000000000018</v>
      </c>
      <c r="C25" s="25"/>
      <c r="D25" s="47"/>
      <c r="E25" s="48"/>
    </row>
    <row r="26" spans="1:5" ht="12.95" customHeight="1">
      <c r="A26" s="133">
        <f t="shared" si="0"/>
        <v>5.1999999999999984</v>
      </c>
      <c r="B26" s="27">
        <f t="shared" si="2"/>
        <v>0.1000000000000002</v>
      </c>
      <c r="C26" s="25"/>
      <c r="D26" s="47"/>
      <c r="E26" s="48"/>
    </row>
    <row r="27" spans="1:5" ht="12.95" customHeight="1">
      <c r="A27" s="133">
        <f t="shared" si="0"/>
        <v>5.4999999999999982</v>
      </c>
      <c r="B27" s="27">
        <f t="shared" si="2"/>
        <v>6.2500000000000222E-2</v>
      </c>
      <c r="C27" s="25"/>
      <c r="D27" s="47"/>
      <c r="E27" s="48"/>
    </row>
    <row r="28" spans="1:5" ht="12.95" customHeight="1">
      <c r="A28" s="133">
        <f>+A27+0.3</f>
        <v>5.799999999999998</v>
      </c>
      <c r="B28" s="27">
        <f t="shared" si="2"/>
        <v>2.5000000000000244E-2</v>
      </c>
      <c r="C28" s="25"/>
      <c r="D28" s="47"/>
      <c r="E28" s="48"/>
    </row>
    <row r="29" spans="1:5" ht="12.95" customHeight="1" thickBot="1">
      <c r="A29" s="134">
        <v>6</v>
      </c>
      <c r="B29" s="52">
        <f t="shared" si="2"/>
        <v>0</v>
      </c>
      <c r="C29" s="53"/>
      <c r="D29" s="49"/>
      <c r="E29" s="50"/>
    </row>
    <row r="30" spans="1:5" ht="12.95" customHeight="1" thickTop="1"/>
  </sheetData>
  <mergeCells count="1">
    <mergeCell ref="C7:E7"/>
  </mergeCells>
  <phoneticPr fontId="0" type="noConversion"/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8"/>
  <sheetViews>
    <sheetView topLeftCell="A115" zoomScale="75" workbookViewId="0">
      <selection activeCell="C146" sqref="C146"/>
    </sheetView>
  </sheetViews>
  <sheetFormatPr baseColWidth="10" defaultRowHeight="12.95" customHeight="1"/>
  <cols>
    <col min="1" max="1" width="25.83203125" style="46" customWidth="1"/>
    <col min="2" max="2" width="40.83203125" style="46" customWidth="1"/>
    <col min="3" max="5" width="22.83203125" style="46" customWidth="1"/>
    <col min="6" max="16384" width="12" style="46"/>
  </cols>
  <sheetData>
    <row r="1" spans="1:5" ht="30" customHeight="1" thickTop="1">
      <c r="A1" s="8" t="s">
        <v>12</v>
      </c>
      <c r="B1" s="91">
        <v>41</v>
      </c>
      <c r="C1" s="10" t="s">
        <v>10</v>
      </c>
      <c r="D1" s="92" t="s">
        <v>197</v>
      </c>
      <c r="E1" s="93" t="s">
        <v>158</v>
      </c>
    </row>
    <row r="2" spans="1:5" ht="30" customHeight="1">
      <c r="A2" s="13" t="s">
        <v>7</v>
      </c>
      <c r="B2" s="19" t="s">
        <v>157</v>
      </c>
      <c r="C2" s="21"/>
      <c r="D2" s="18" t="s">
        <v>161</v>
      </c>
      <c r="E2" s="94" t="s">
        <v>159</v>
      </c>
    </row>
    <row r="3" spans="1:5" ht="30" customHeight="1">
      <c r="A3" s="13" t="s">
        <v>15</v>
      </c>
      <c r="B3" s="19"/>
      <c r="C3" s="21"/>
      <c r="D3" s="18" t="s">
        <v>198</v>
      </c>
      <c r="E3" s="94" t="s">
        <v>160</v>
      </c>
    </row>
    <row r="4" spans="1:5" ht="30" customHeight="1" thickBot="1">
      <c r="A4" s="13" t="s">
        <v>8</v>
      </c>
      <c r="B4" s="17" t="s">
        <v>93</v>
      </c>
      <c r="C4" s="22"/>
      <c r="D4" s="23"/>
      <c r="E4" s="95"/>
    </row>
    <row r="5" spans="1:5" ht="30" customHeight="1">
      <c r="A5" s="13" t="s">
        <v>9</v>
      </c>
      <c r="B5" s="19" t="s">
        <v>174</v>
      </c>
      <c r="C5" s="4" t="s">
        <v>11</v>
      </c>
      <c r="D5" s="6">
        <v>2</v>
      </c>
      <c r="E5" s="120"/>
    </row>
    <row r="6" spans="1:5" ht="30" customHeight="1" thickBot="1">
      <c r="A6" s="14" t="s">
        <v>16</v>
      </c>
      <c r="B6" s="20" t="s">
        <v>17</v>
      </c>
      <c r="C6" s="5" t="s">
        <v>0</v>
      </c>
      <c r="D6" s="7">
        <f>IF(D5&lt;0,"valor del indicador fuera de rango",IF(D5&lt;=0.667,-0.446*(D5^2)+1,IF(D5&lt;=1.33,-0.606*D5+1.21,IF(D5&lt;=2,(0.337*D5^2)-(1.35*D5)+1.6,"valor del indicador fuera del rango"))))</f>
        <v>0.248</v>
      </c>
      <c r="E6" s="121"/>
    </row>
    <row r="7" spans="1:5" ht="30" customHeight="1">
      <c r="A7" s="15" t="s">
        <v>14</v>
      </c>
      <c r="B7" s="3" t="s">
        <v>0</v>
      </c>
      <c r="C7" s="146" t="s">
        <v>13</v>
      </c>
      <c r="D7" s="144"/>
      <c r="E7" s="145"/>
    </row>
    <row r="8" spans="1:5" ht="12.95" customHeight="1">
      <c r="A8" s="130">
        <v>0</v>
      </c>
      <c r="B8" s="24">
        <f t="shared" ref="B8:B14" si="0">(-0.446*A8^2)+ 1</f>
        <v>1</v>
      </c>
      <c r="C8" s="47"/>
      <c r="D8" s="47"/>
      <c r="E8" s="48"/>
    </row>
    <row r="9" spans="1:5" ht="12.95" customHeight="1">
      <c r="A9" s="131">
        <v>0.1</v>
      </c>
      <c r="B9" s="24">
        <f t="shared" si="0"/>
        <v>0.99553999999999998</v>
      </c>
      <c r="C9" s="25"/>
      <c r="D9" s="47"/>
      <c r="E9" s="48"/>
    </row>
    <row r="10" spans="1:5" ht="12.95" customHeight="1">
      <c r="A10" s="131">
        <v>0.2</v>
      </c>
      <c r="B10" s="24">
        <f t="shared" si="0"/>
        <v>0.98216000000000003</v>
      </c>
      <c r="C10" s="25"/>
      <c r="D10" s="47"/>
      <c r="E10" s="48"/>
    </row>
    <row r="11" spans="1:5" ht="12.95" customHeight="1">
      <c r="A11" s="131">
        <v>0.3</v>
      </c>
      <c r="B11" s="24">
        <f t="shared" si="0"/>
        <v>0.95986000000000005</v>
      </c>
      <c r="C11" s="25"/>
      <c r="D11" s="47"/>
      <c r="E11" s="48"/>
    </row>
    <row r="12" spans="1:5" ht="12.95" customHeight="1">
      <c r="A12" s="131">
        <v>0.4</v>
      </c>
      <c r="B12" s="24">
        <f t="shared" si="0"/>
        <v>0.92864000000000002</v>
      </c>
      <c r="C12" s="25"/>
      <c r="D12" s="47"/>
      <c r="E12" s="48"/>
    </row>
    <row r="13" spans="1:5" ht="12.95" customHeight="1">
      <c r="A13" s="131">
        <v>0.5</v>
      </c>
      <c r="B13" s="24">
        <f t="shared" si="0"/>
        <v>0.88849999999999996</v>
      </c>
      <c r="C13" s="25"/>
      <c r="D13" s="47"/>
      <c r="E13" s="48"/>
    </row>
    <row r="14" spans="1:5" ht="12.95" customHeight="1">
      <c r="A14" s="131">
        <v>0.6</v>
      </c>
      <c r="B14" s="24">
        <f t="shared" si="0"/>
        <v>0.83943999999999996</v>
      </c>
      <c r="C14" s="25"/>
      <c r="D14" s="47"/>
      <c r="E14" s="48"/>
    </row>
    <row r="15" spans="1:5" ht="12.95" customHeight="1">
      <c r="A15" s="132">
        <v>0.7</v>
      </c>
      <c r="B15" s="26">
        <f t="shared" ref="B15:B20" si="1">-0.606*A15+ 1.21</f>
        <v>0.78580000000000005</v>
      </c>
      <c r="C15" s="25"/>
      <c r="D15" s="47"/>
      <c r="E15" s="48"/>
    </row>
    <row r="16" spans="1:5" ht="12.95" customHeight="1">
      <c r="A16" s="132">
        <v>0.8</v>
      </c>
      <c r="B16" s="26">
        <f t="shared" si="1"/>
        <v>0.72519999999999996</v>
      </c>
      <c r="C16" s="25"/>
      <c r="D16" s="47"/>
      <c r="E16" s="48"/>
    </row>
    <row r="17" spans="1:5" ht="12.95" customHeight="1">
      <c r="A17" s="132">
        <v>0.9</v>
      </c>
      <c r="B17" s="26">
        <f t="shared" si="1"/>
        <v>0.66459999999999997</v>
      </c>
      <c r="C17" s="25"/>
      <c r="D17" s="47"/>
      <c r="E17" s="48"/>
    </row>
    <row r="18" spans="1:5" ht="12.95" customHeight="1">
      <c r="A18" s="132">
        <v>1</v>
      </c>
      <c r="B18" s="26">
        <f t="shared" si="1"/>
        <v>0.60399999999999998</v>
      </c>
      <c r="C18" s="25"/>
      <c r="D18" s="47"/>
      <c r="E18" s="48"/>
    </row>
    <row r="19" spans="1:5" ht="12.95" customHeight="1">
      <c r="A19" s="132">
        <v>1.1000000000000001</v>
      </c>
      <c r="B19" s="26">
        <f t="shared" si="1"/>
        <v>0.54339999999999988</v>
      </c>
      <c r="C19" s="25"/>
      <c r="D19" s="47"/>
      <c r="E19" s="48"/>
    </row>
    <row r="20" spans="1:5" ht="12.95" customHeight="1">
      <c r="A20" s="132">
        <v>1.2</v>
      </c>
      <c r="B20" s="26">
        <f t="shared" si="1"/>
        <v>0.48280000000000001</v>
      </c>
      <c r="C20" s="25"/>
      <c r="D20" s="47"/>
      <c r="E20" s="48"/>
    </row>
    <row r="21" spans="1:5" ht="12.95" customHeight="1">
      <c r="A21" s="133">
        <v>1.4</v>
      </c>
      <c r="B21" s="27">
        <f>(0.337*A21^2)-1.35*A21+1.6</f>
        <v>0.37052000000000018</v>
      </c>
      <c r="C21" s="25"/>
      <c r="D21" s="47"/>
      <c r="E21" s="48"/>
    </row>
    <row r="22" spans="1:5" ht="12.95" customHeight="1">
      <c r="A22" s="133">
        <v>1.6</v>
      </c>
      <c r="B22" s="27">
        <f>(0.337*A22^2)-1.35*A22+1.6</f>
        <v>0.30272000000000032</v>
      </c>
      <c r="C22" s="25"/>
      <c r="D22" s="47"/>
      <c r="E22" s="48"/>
    </row>
    <row r="23" spans="1:5" ht="12.95" customHeight="1">
      <c r="A23" s="133">
        <v>1.8</v>
      </c>
      <c r="B23" s="27">
        <f>(0.337*A23^2)-1.35*A23+1.6</f>
        <v>0.26188000000000011</v>
      </c>
      <c r="C23" s="25"/>
      <c r="D23" s="47"/>
      <c r="E23" s="48"/>
    </row>
    <row r="24" spans="1:5" ht="12.95" customHeight="1" thickBot="1">
      <c r="A24" s="134">
        <v>2</v>
      </c>
      <c r="B24" s="52">
        <f>(0.337*A24^2)-1.35*A24+1.6</f>
        <v>0.248</v>
      </c>
      <c r="C24" s="53"/>
      <c r="D24" s="49"/>
      <c r="E24" s="50"/>
    </row>
    <row r="25" spans="1:5" ht="12.95" customHeight="1" thickTop="1"/>
    <row r="26" spans="1:5" ht="12.95" customHeight="1" thickBot="1"/>
    <row r="27" spans="1:5" ht="30" customHeight="1" thickTop="1">
      <c r="A27" s="8" t="s">
        <v>12</v>
      </c>
      <c r="B27" s="91">
        <v>42</v>
      </c>
      <c r="C27" s="10" t="s">
        <v>10</v>
      </c>
      <c r="D27" s="92" t="s">
        <v>197</v>
      </c>
      <c r="E27" s="93" t="s">
        <v>158</v>
      </c>
    </row>
    <row r="28" spans="1:5" ht="30" customHeight="1">
      <c r="A28" s="13" t="s">
        <v>7</v>
      </c>
      <c r="B28" s="19" t="s">
        <v>162</v>
      </c>
      <c r="C28" s="21"/>
      <c r="D28" s="18" t="s">
        <v>161</v>
      </c>
      <c r="E28" s="94" t="s">
        <v>159</v>
      </c>
    </row>
    <row r="29" spans="1:5" ht="30" customHeight="1">
      <c r="A29" s="13" t="s">
        <v>15</v>
      </c>
      <c r="B29" s="19"/>
      <c r="C29" s="21"/>
      <c r="D29" s="18" t="s">
        <v>198</v>
      </c>
      <c r="E29" s="94" t="s">
        <v>160</v>
      </c>
    </row>
    <row r="30" spans="1:5" ht="30" customHeight="1" thickBot="1">
      <c r="A30" s="13" t="s">
        <v>8</v>
      </c>
      <c r="B30" s="17" t="s">
        <v>93</v>
      </c>
      <c r="C30" s="22"/>
      <c r="D30" s="23"/>
      <c r="E30" s="95"/>
    </row>
    <row r="31" spans="1:5" ht="30" customHeight="1">
      <c r="A31" s="13" t="s">
        <v>9</v>
      </c>
      <c r="B31" s="19" t="s">
        <v>174</v>
      </c>
      <c r="C31" s="4" t="s">
        <v>11</v>
      </c>
      <c r="D31" s="6">
        <v>2</v>
      </c>
      <c r="E31" s="120"/>
    </row>
    <row r="32" spans="1:5" ht="30" customHeight="1" thickBot="1">
      <c r="A32" s="14" t="s">
        <v>16</v>
      </c>
      <c r="B32" s="20" t="s">
        <v>17</v>
      </c>
      <c r="C32" s="5" t="s">
        <v>0</v>
      </c>
      <c r="D32" s="7">
        <f>IF(D31&lt;0,"valor del indicador fuera de rango",IF(D31&lt;=0.667,-0.446*(D31^2)+1,IF(D31&lt;=1.33,-0.606*D31+1.21,IF(D31&lt;=2,(0.337*D31^2)-(1.35*D31)+1.6,"valor del indicador fuera del rango"))))</f>
        <v>0.248</v>
      </c>
      <c r="E32" s="121"/>
    </row>
    <row r="33" spans="1:5" ht="30" customHeight="1">
      <c r="A33" s="15" t="s">
        <v>14</v>
      </c>
      <c r="B33" s="3" t="s">
        <v>0</v>
      </c>
      <c r="C33" s="146" t="s">
        <v>13</v>
      </c>
      <c r="D33" s="144"/>
      <c r="E33" s="145"/>
    </row>
    <row r="34" spans="1:5" ht="12.95" customHeight="1">
      <c r="A34" s="130">
        <v>0</v>
      </c>
      <c r="B34" s="24">
        <f t="shared" ref="B34:B40" si="2">(-0.446*A34^2)+ 1</f>
        <v>1</v>
      </c>
      <c r="C34" s="47"/>
      <c r="D34" s="47"/>
      <c r="E34" s="48"/>
    </row>
    <row r="35" spans="1:5" ht="12.95" customHeight="1">
      <c r="A35" s="131">
        <v>0.1</v>
      </c>
      <c r="B35" s="24">
        <f t="shared" si="2"/>
        <v>0.99553999999999998</v>
      </c>
      <c r="C35" s="25"/>
      <c r="D35" s="47"/>
      <c r="E35" s="48"/>
    </row>
    <row r="36" spans="1:5" ht="12.95" customHeight="1">
      <c r="A36" s="131">
        <v>0.2</v>
      </c>
      <c r="B36" s="24">
        <f t="shared" si="2"/>
        <v>0.98216000000000003</v>
      </c>
      <c r="C36" s="25"/>
      <c r="D36" s="47"/>
      <c r="E36" s="48"/>
    </row>
    <row r="37" spans="1:5" ht="12.95" customHeight="1">
      <c r="A37" s="131">
        <v>0.3</v>
      </c>
      <c r="B37" s="24">
        <f t="shared" si="2"/>
        <v>0.95986000000000005</v>
      </c>
      <c r="C37" s="25"/>
      <c r="D37" s="47"/>
      <c r="E37" s="48"/>
    </row>
    <row r="38" spans="1:5" ht="12.95" customHeight="1">
      <c r="A38" s="131">
        <v>0.4</v>
      </c>
      <c r="B38" s="24">
        <f t="shared" si="2"/>
        <v>0.92864000000000002</v>
      </c>
      <c r="C38" s="25"/>
      <c r="D38" s="47"/>
      <c r="E38" s="48"/>
    </row>
    <row r="39" spans="1:5" ht="12.95" customHeight="1">
      <c r="A39" s="131">
        <v>0.5</v>
      </c>
      <c r="B39" s="24">
        <f t="shared" si="2"/>
        <v>0.88849999999999996</v>
      </c>
      <c r="C39" s="25"/>
      <c r="D39" s="47"/>
      <c r="E39" s="48"/>
    </row>
    <row r="40" spans="1:5" ht="12.95" customHeight="1">
      <c r="A40" s="131">
        <v>0.6</v>
      </c>
      <c r="B40" s="24">
        <f t="shared" si="2"/>
        <v>0.83943999999999996</v>
      </c>
      <c r="C40" s="25"/>
      <c r="D40" s="47"/>
      <c r="E40" s="48"/>
    </row>
    <row r="41" spans="1:5" ht="12.95" customHeight="1">
      <c r="A41" s="132">
        <v>0.7</v>
      </c>
      <c r="B41" s="26">
        <f t="shared" ref="B41:B46" si="3">-0.606*A41+ 1.21</f>
        <v>0.78580000000000005</v>
      </c>
      <c r="C41" s="25"/>
      <c r="D41" s="47"/>
      <c r="E41" s="48"/>
    </row>
    <row r="42" spans="1:5" ht="12.95" customHeight="1">
      <c r="A42" s="132">
        <v>0.8</v>
      </c>
      <c r="B42" s="26">
        <f t="shared" si="3"/>
        <v>0.72519999999999996</v>
      </c>
      <c r="C42" s="25"/>
      <c r="D42" s="47"/>
      <c r="E42" s="48"/>
    </row>
    <row r="43" spans="1:5" ht="12.95" customHeight="1">
      <c r="A43" s="132">
        <v>0.9</v>
      </c>
      <c r="B43" s="26">
        <f t="shared" si="3"/>
        <v>0.66459999999999997</v>
      </c>
      <c r="C43" s="25"/>
      <c r="D43" s="47"/>
      <c r="E43" s="48"/>
    </row>
    <row r="44" spans="1:5" ht="12.95" customHeight="1">
      <c r="A44" s="132">
        <v>1</v>
      </c>
      <c r="B44" s="26">
        <f t="shared" si="3"/>
        <v>0.60399999999999998</v>
      </c>
      <c r="C44" s="25"/>
      <c r="D44" s="47"/>
      <c r="E44" s="48"/>
    </row>
    <row r="45" spans="1:5" ht="12.95" customHeight="1">
      <c r="A45" s="132">
        <v>1.1000000000000001</v>
      </c>
      <c r="B45" s="26">
        <f t="shared" si="3"/>
        <v>0.54339999999999988</v>
      </c>
      <c r="C45" s="25"/>
      <c r="D45" s="47"/>
      <c r="E45" s="48"/>
    </row>
    <row r="46" spans="1:5" ht="12.95" customHeight="1">
      <c r="A46" s="132">
        <v>1.2</v>
      </c>
      <c r="B46" s="26">
        <f t="shared" si="3"/>
        <v>0.48280000000000001</v>
      </c>
      <c r="C46" s="25"/>
      <c r="D46" s="47"/>
      <c r="E46" s="48"/>
    </row>
    <row r="47" spans="1:5" ht="12.95" customHeight="1">
      <c r="A47" s="133">
        <v>1.4</v>
      </c>
      <c r="B47" s="27">
        <f t="shared" ref="B47:B52" si="4">(0.337*A47^2)-1.35*A47+1.6</f>
        <v>0.37052000000000018</v>
      </c>
      <c r="C47" s="25"/>
      <c r="D47" s="47"/>
      <c r="E47" s="48"/>
    </row>
    <row r="48" spans="1:5" ht="12.95" customHeight="1">
      <c r="A48" s="133">
        <v>1.5</v>
      </c>
      <c r="B48" s="27">
        <f t="shared" si="4"/>
        <v>0.33324999999999982</v>
      </c>
      <c r="C48" s="25"/>
      <c r="D48" s="47"/>
      <c r="E48" s="48"/>
    </row>
    <row r="49" spans="1:5" ht="12.95" customHeight="1">
      <c r="A49" s="133">
        <v>1.6</v>
      </c>
      <c r="B49" s="27">
        <f t="shared" si="4"/>
        <v>0.30272000000000032</v>
      </c>
      <c r="C49" s="25"/>
      <c r="D49" s="47"/>
      <c r="E49" s="48"/>
    </row>
    <row r="50" spans="1:5" ht="12.95" customHeight="1">
      <c r="A50" s="133">
        <v>1.8</v>
      </c>
      <c r="B50" s="27">
        <f t="shared" si="4"/>
        <v>0.26188000000000011</v>
      </c>
      <c r="C50" s="25"/>
      <c r="D50" s="47"/>
      <c r="E50" s="48"/>
    </row>
    <row r="51" spans="1:5" ht="12.95" customHeight="1">
      <c r="A51" s="133">
        <v>1.9</v>
      </c>
      <c r="B51" s="27">
        <f t="shared" si="4"/>
        <v>0.25157000000000007</v>
      </c>
      <c r="C51" s="25"/>
      <c r="D51" s="47"/>
      <c r="E51" s="48"/>
    </row>
    <row r="52" spans="1:5" ht="12.95" customHeight="1" thickBot="1">
      <c r="A52" s="134">
        <v>2</v>
      </c>
      <c r="B52" s="52">
        <f t="shared" si="4"/>
        <v>0.248</v>
      </c>
      <c r="C52" s="53"/>
      <c r="D52" s="49"/>
      <c r="E52" s="50"/>
    </row>
    <row r="53" spans="1:5" ht="12.95" customHeight="1" thickTop="1"/>
    <row r="54" spans="1:5" ht="12.95" customHeight="1" thickBot="1"/>
    <row r="55" spans="1:5" ht="30" customHeight="1" thickTop="1">
      <c r="A55" s="8" t="s">
        <v>12</v>
      </c>
      <c r="B55" s="91">
        <v>43</v>
      </c>
      <c r="C55" s="10" t="s">
        <v>10</v>
      </c>
      <c r="D55" s="92" t="s">
        <v>197</v>
      </c>
      <c r="E55" s="93" t="s">
        <v>158</v>
      </c>
    </row>
    <row r="56" spans="1:5" ht="30" customHeight="1">
      <c r="A56" s="13" t="s">
        <v>7</v>
      </c>
      <c r="B56" s="19" t="s">
        <v>163</v>
      </c>
      <c r="C56" s="21"/>
      <c r="D56" s="18" t="s">
        <v>161</v>
      </c>
      <c r="E56" s="94" t="s">
        <v>159</v>
      </c>
    </row>
    <row r="57" spans="1:5" ht="30" customHeight="1">
      <c r="A57" s="13" t="s">
        <v>15</v>
      </c>
      <c r="B57" s="19"/>
      <c r="C57" s="21"/>
      <c r="D57" s="18" t="s">
        <v>198</v>
      </c>
      <c r="E57" s="94" t="s">
        <v>160</v>
      </c>
    </row>
    <row r="58" spans="1:5" ht="30" customHeight="1" thickBot="1">
      <c r="A58" s="13" t="s">
        <v>8</v>
      </c>
      <c r="B58" s="17" t="s">
        <v>93</v>
      </c>
      <c r="C58" s="22"/>
      <c r="D58" s="23"/>
      <c r="E58" s="95"/>
    </row>
    <row r="59" spans="1:5" ht="30" customHeight="1">
      <c r="A59" s="13" t="s">
        <v>9</v>
      </c>
      <c r="B59" s="19" t="s">
        <v>174</v>
      </c>
      <c r="C59" s="4" t="s">
        <v>11</v>
      </c>
      <c r="D59" s="6">
        <v>2</v>
      </c>
      <c r="E59" s="120"/>
    </row>
    <row r="60" spans="1:5" ht="30" customHeight="1" thickBot="1">
      <c r="A60" s="14" t="s">
        <v>16</v>
      </c>
      <c r="B60" s="20" t="s">
        <v>17</v>
      </c>
      <c r="C60" s="5" t="s">
        <v>0</v>
      </c>
      <c r="D60" s="7">
        <f>IF(D59&lt;0,"valor del indicador fuera de rango",IF(D59&lt;=0.667,-0.446*(D59^2)+1,IF(D59&lt;=1.33,-0.606*D59+1.21,IF(D59&lt;=2,(0.337*D59^2)-(1.35*D59)+1.6,"valor del indicador fuera del rango"))))</f>
        <v>0.248</v>
      </c>
      <c r="E60" s="121"/>
    </row>
    <row r="61" spans="1:5" ht="30" customHeight="1">
      <c r="A61" s="15" t="s">
        <v>14</v>
      </c>
      <c r="B61" s="3" t="s">
        <v>0</v>
      </c>
      <c r="C61" s="146" t="s">
        <v>13</v>
      </c>
      <c r="D61" s="144"/>
      <c r="E61" s="145"/>
    </row>
    <row r="62" spans="1:5" ht="12.95" customHeight="1">
      <c r="A62" s="130">
        <v>0</v>
      </c>
      <c r="B62" s="24">
        <f t="shared" ref="B62:B68" si="5">(-0.446*A62^2)+ 1</f>
        <v>1</v>
      </c>
      <c r="C62" s="47"/>
      <c r="D62" s="47"/>
      <c r="E62" s="48"/>
    </row>
    <row r="63" spans="1:5" ht="12.95" customHeight="1">
      <c r="A63" s="131">
        <v>0.1</v>
      </c>
      <c r="B63" s="24">
        <f t="shared" si="5"/>
        <v>0.99553999999999998</v>
      </c>
      <c r="C63" s="25"/>
      <c r="D63" s="47"/>
      <c r="E63" s="48"/>
    </row>
    <row r="64" spans="1:5" ht="12.95" customHeight="1">
      <c r="A64" s="131">
        <v>0.2</v>
      </c>
      <c r="B64" s="24">
        <f t="shared" si="5"/>
        <v>0.98216000000000003</v>
      </c>
      <c r="C64" s="25"/>
      <c r="D64" s="47"/>
      <c r="E64" s="48"/>
    </row>
    <row r="65" spans="1:5" ht="12.95" customHeight="1">
      <c r="A65" s="131">
        <v>0.3</v>
      </c>
      <c r="B65" s="24">
        <f t="shared" si="5"/>
        <v>0.95986000000000005</v>
      </c>
      <c r="C65" s="25"/>
      <c r="D65" s="47"/>
      <c r="E65" s="48"/>
    </row>
    <row r="66" spans="1:5" ht="12.95" customHeight="1">
      <c r="A66" s="131">
        <v>0.4</v>
      </c>
      <c r="B66" s="24">
        <f t="shared" si="5"/>
        <v>0.92864000000000002</v>
      </c>
      <c r="C66" s="25"/>
      <c r="D66" s="47"/>
      <c r="E66" s="48"/>
    </row>
    <row r="67" spans="1:5" ht="12.95" customHeight="1">
      <c r="A67" s="131">
        <v>0.5</v>
      </c>
      <c r="B67" s="24">
        <f t="shared" si="5"/>
        <v>0.88849999999999996</v>
      </c>
      <c r="C67" s="25"/>
      <c r="D67" s="47"/>
      <c r="E67" s="48"/>
    </row>
    <row r="68" spans="1:5" ht="12.95" customHeight="1">
      <c r="A68" s="131">
        <v>0.6</v>
      </c>
      <c r="B68" s="24">
        <f t="shared" si="5"/>
        <v>0.83943999999999996</v>
      </c>
      <c r="C68" s="25"/>
      <c r="D68" s="47"/>
      <c r="E68" s="48"/>
    </row>
    <row r="69" spans="1:5" ht="12.95" customHeight="1">
      <c r="A69" s="132">
        <v>0.7</v>
      </c>
      <c r="B69" s="26">
        <f t="shared" ref="B69:B74" si="6">-0.606*A69+ 1.21</f>
        <v>0.78580000000000005</v>
      </c>
      <c r="C69" s="25"/>
      <c r="D69" s="47"/>
      <c r="E69" s="48"/>
    </row>
    <row r="70" spans="1:5" ht="12.95" customHeight="1">
      <c r="A70" s="132">
        <v>0.8</v>
      </c>
      <c r="B70" s="26">
        <f t="shared" si="6"/>
        <v>0.72519999999999996</v>
      </c>
      <c r="C70" s="25"/>
      <c r="D70" s="47"/>
      <c r="E70" s="48"/>
    </row>
    <row r="71" spans="1:5" ht="12.95" customHeight="1">
      <c r="A71" s="132">
        <v>0.9</v>
      </c>
      <c r="B71" s="26">
        <f t="shared" si="6"/>
        <v>0.66459999999999997</v>
      </c>
      <c r="C71" s="25"/>
      <c r="D71" s="47"/>
      <c r="E71" s="48"/>
    </row>
    <row r="72" spans="1:5" ht="12.95" customHeight="1">
      <c r="A72" s="132">
        <v>1</v>
      </c>
      <c r="B72" s="26">
        <f t="shared" si="6"/>
        <v>0.60399999999999998</v>
      </c>
      <c r="C72" s="25"/>
      <c r="D72" s="47"/>
      <c r="E72" s="48"/>
    </row>
    <row r="73" spans="1:5" ht="12.95" customHeight="1">
      <c r="A73" s="132">
        <v>1.1000000000000001</v>
      </c>
      <c r="B73" s="26">
        <f t="shared" si="6"/>
        <v>0.54339999999999988</v>
      </c>
      <c r="C73" s="25"/>
      <c r="D73" s="47"/>
      <c r="E73" s="48"/>
    </row>
    <row r="74" spans="1:5" ht="12.95" customHeight="1">
      <c r="A74" s="132">
        <v>1.2</v>
      </c>
      <c r="B74" s="26">
        <f t="shared" si="6"/>
        <v>0.48280000000000001</v>
      </c>
      <c r="C74" s="25"/>
      <c r="D74" s="47"/>
      <c r="E74" s="48"/>
    </row>
    <row r="75" spans="1:5" ht="12.95" customHeight="1">
      <c r="A75" s="133">
        <v>1.4</v>
      </c>
      <c r="B75" s="27">
        <f t="shared" ref="B75:B80" si="7">(0.337*A75^2)-1.35*A75+1.6</f>
        <v>0.37052000000000018</v>
      </c>
      <c r="C75" s="25"/>
      <c r="D75" s="47"/>
      <c r="E75" s="48"/>
    </row>
    <row r="76" spans="1:5" ht="12.95" customHeight="1">
      <c r="A76" s="133">
        <v>1.5</v>
      </c>
      <c r="B76" s="27">
        <f t="shared" si="7"/>
        <v>0.33324999999999982</v>
      </c>
      <c r="C76" s="25"/>
      <c r="D76" s="47"/>
      <c r="E76" s="48"/>
    </row>
    <row r="77" spans="1:5" ht="12.95" customHeight="1">
      <c r="A77" s="133">
        <v>1.6</v>
      </c>
      <c r="B77" s="27">
        <f t="shared" si="7"/>
        <v>0.30272000000000032</v>
      </c>
      <c r="C77" s="25"/>
      <c r="D77" s="47"/>
      <c r="E77" s="48"/>
    </row>
    <row r="78" spans="1:5" ht="12.95" customHeight="1">
      <c r="A78" s="133">
        <v>1.8</v>
      </c>
      <c r="B78" s="27">
        <f t="shared" si="7"/>
        <v>0.26188000000000011</v>
      </c>
      <c r="C78" s="25"/>
      <c r="D78" s="47"/>
      <c r="E78" s="48"/>
    </row>
    <row r="79" spans="1:5" ht="12.95" customHeight="1">
      <c r="A79" s="133">
        <v>1.9</v>
      </c>
      <c r="B79" s="27">
        <f t="shared" si="7"/>
        <v>0.25157000000000007</v>
      </c>
      <c r="C79" s="25"/>
      <c r="D79" s="47"/>
      <c r="E79" s="48"/>
    </row>
    <row r="80" spans="1:5" ht="12.95" customHeight="1" thickBot="1">
      <c r="A80" s="134">
        <v>2</v>
      </c>
      <c r="B80" s="52">
        <f t="shared" si="7"/>
        <v>0.248</v>
      </c>
      <c r="C80" s="53"/>
      <c r="D80" s="49"/>
      <c r="E80" s="50"/>
    </row>
    <row r="81" spans="1:5" ht="12.95" customHeight="1" thickTop="1"/>
    <row r="82" spans="1:5" ht="12.95" customHeight="1" thickBot="1"/>
    <row r="83" spans="1:5" ht="30" customHeight="1" thickTop="1">
      <c r="A83" s="8" t="s">
        <v>12</v>
      </c>
      <c r="B83" s="91">
        <v>44</v>
      </c>
      <c r="C83" s="10" t="s">
        <v>10</v>
      </c>
      <c r="D83" s="92" t="s">
        <v>165</v>
      </c>
      <c r="E83" s="93" t="s">
        <v>23</v>
      </c>
    </row>
    <row r="84" spans="1:5" ht="30" customHeight="1">
      <c r="A84" s="13" t="s">
        <v>7</v>
      </c>
      <c r="B84" s="19" t="s">
        <v>164</v>
      </c>
      <c r="C84" s="21"/>
      <c r="D84" s="18"/>
      <c r="E84" s="94"/>
    </row>
    <row r="85" spans="1:5" ht="30" customHeight="1">
      <c r="A85" s="13" t="s">
        <v>15</v>
      </c>
      <c r="B85" s="19"/>
      <c r="C85" s="21"/>
      <c r="D85" s="18"/>
      <c r="E85" s="94"/>
    </row>
    <row r="86" spans="1:5" ht="30" customHeight="1" thickBot="1">
      <c r="A86" s="13" t="s">
        <v>8</v>
      </c>
      <c r="B86" s="19" t="s">
        <v>47</v>
      </c>
      <c r="C86" s="22"/>
      <c r="D86" s="23"/>
      <c r="E86" s="95"/>
    </row>
    <row r="87" spans="1:5" ht="30" customHeight="1">
      <c r="A87" s="13" t="s">
        <v>9</v>
      </c>
      <c r="B87" s="19" t="s">
        <v>86</v>
      </c>
      <c r="C87" s="4" t="s">
        <v>11</v>
      </c>
      <c r="D87" s="6">
        <v>50</v>
      </c>
      <c r="E87" s="120"/>
    </row>
    <row r="88" spans="1:5" ht="30" customHeight="1" thickBot="1">
      <c r="A88" s="14" t="s">
        <v>16</v>
      </c>
      <c r="B88" s="20" t="s">
        <v>17</v>
      </c>
      <c r="C88" s="5" t="s">
        <v>0</v>
      </c>
      <c r="D88" s="7">
        <f>IF(D87&lt;0,"valor del indicador fuera de rango",IF(D87&lt;=100,-0.01*D87+1,IF(D87&gt;=100,"valor del indicador fuera de rango")))</f>
        <v>0.5</v>
      </c>
      <c r="E88" s="121"/>
    </row>
    <row r="89" spans="1:5" ht="30" customHeight="1">
      <c r="A89" s="15" t="s">
        <v>14</v>
      </c>
      <c r="B89" s="3" t="s">
        <v>0</v>
      </c>
      <c r="C89" s="146" t="s">
        <v>13</v>
      </c>
      <c r="D89" s="144"/>
      <c r="E89" s="145"/>
    </row>
    <row r="90" spans="1:5" ht="12.95" customHeight="1">
      <c r="A90" s="28">
        <v>0</v>
      </c>
      <c r="B90" s="24">
        <f t="shared" ref="B90:B107" si="8">-0.01*A90+1</f>
        <v>1</v>
      </c>
      <c r="C90" s="47"/>
      <c r="D90" s="47"/>
      <c r="E90" s="48"/>
    </row>
    <row r="91" spans="1:5" ht="12.95" customHeight="1">
      <c r="A91" s="29">
        <v>5</v>
      </c>
      <c r="B91" s="24">
        <f t="shared" si="8"/>
        <v>0.95</v>
      </c>
      <c r="C91" s="25"/>
      <c r="D91" s="47"/>
      <c r="E91" s="48"/>
    </row>
    <row r="92" spans="1:5" ht="12.95" customHeight="1">
      <c r="A92" s="29">
        <v>10</v>
      </c>
      <c r="B92" s="24">
        <f t="shared" si="8"/>
        <v>0.9</v>
      </c>
      <c r="C92" s="25"/>
      <c r="D92" s="47"/>
      <c r="E92" s="48"/>
    </row>
    <row r="93" spans="1:5" ht="12.95" customHeight="1">
      <c r="A93" s="29">
        <v>15</v>
      </c>
      <c r="B93" s="24">
        <f t="shared" si="8"/>
        <v>0.85</v>
      </c>
      <c r="C93" s="25"/>
      <c r="D93" s="47"/>
      <c r="E93" s="48"/>
    </row>
    <row r="94" spans="1:5" ht="12.95" customHeight="1">
      <c r="A94" s="29">
        <v>20</v>
      </c>
      <c r="B94" s="24">
        <f t="shared" si="8"/>
        <v>0.8</v>
      </c>
      <c r="C94" s="25"/>
      <c r="D94" s="47"/>
      <c r="E94" s="48"/>
    </row>
    <row r="95" spans="1:5" ht="12.95" customHeight="1">
      <c r="A95" s="29">
        <v>25</v>
      </c>
      <c r="B95" s="24">
        <f t="shared" si="8"/>
        <v>0.75</v>
      </c>
      <c r="C95" s="25"/>
      <c r="D95" s="47"/>
      <c r="E95" s="48"/>
    </row>
    <row r="96" spans="1:5" ht="12.95" customHeight="1">
      <c r="A96" s="29">
        <v>30</v>
      </c>
      <c r="B96" s="24">
        <f t="shared" si="8"/>
        <v>0.7</v>
      </c>
      <c r="C96" s="25"/>
      <c r="D96" s="47"/>
      <c r="E96" s="48"/>
    </row>
    <row r="97" spans="1:5" ht="12.95" customHeight="1">
      <c r="A97" s="29">
        <v>35</v>
      </c>
      <c r="B97" s="24">
        <f t="shared" si="8"/>
        <v>0.64999999999999991</v>
      </c>
      <c r="C97" s="25"/>
      <c r="D97" s="47"/>
      <c r="E97" s="48"/>
    </row>
    <row r="98" spans="1:5" ht="12.95" customHeight="1">
      <c r="A98" s="29">
        <v>40</v>
      </c>
      <c r="B98" s="24">
        <f t="shared" si="8"/>
        <v>0.6</v>
      </c>
      <c r="C98" s="25"/>
      <c r="D98" s="47"/>
      <c r="E98" s="48"/>
    </row>
    <row r="99" spans="1:5" ht="12.95" customHeight="1">
      <c r="A99" s="29">
        <v>45</v>
      </c>
      <c r="B99" s="24">
        <f t="shared" si="8"/>
        <v>0.55000000000000004</v>
      </c>
      <c r="C99" s="25"/>
      <c r="D99" s="47"/>
      <c r="E99" s="48"/>
    </row>
    <row r="100" spans="1:5" ht="12.95" customHeight="1">
      <c r="A100" s="29">
        <v>50</v>
      </c>
      <c r="B100" s="24">
        <f t="shared" si="8"/>
        <v>0.5</v>
      </c>
      <c r="C100" s="25"/>
      <c r="D100" s="47"/>
      <c r="E100" s="48"/>
    </row>
    <row r="101" spans="1:5" ht="12.95" customHeight="1">
      <c r="A101" s="29">
        <v>55</v>
      </c>
      <c r="B101" s="24">
        <f t="shared" si="8"/>
        <v>0.44999999999999996</v>
      </c>
      <c r="C101" s="25"/>
      <c r="D101" s="47"/>
      <c r="E101" s="48"/>
    </row>
    <row r="102" spans="1:5" ht="12.95" customHeight="1">
      <c r="A102" s="29">
        <v>60</v>
      </c>
      <c r="B102" s="24">
        <f t="shared" si="8"/>
        <v>0.4</v>
      </c>
      <c r="C102" s="25"/>
      <c r="D102" s="47"/>
      <c r="E102" s="48"/>
    </row>
    <row r="103" spans="1:5" ht="12.95" customHeight="1">
      <c r="A103" s="29">
        <v>65</v>
      </c>
      <c r="B103" s="24">
        <f t="shared" si="8"/>
        <v>0.35</v>
      </c>
      <c r="C103" s="25"/>
      <c r="D103" s="47"/>
      <c r="E103" s="48"/>
    </row>
    <row r="104" spans="1:5" ht="12.95" customHeight="1">
      <c r="A104" s="29">
        <v>70</v>
      </c>
      <c r="B104" s="24">
        <f t="shared" si="8"/>
        <v>0.29999999999999993</v>
      </c>
      <c r="C104" s="25"/>
      <c r="D104" s="47"/>
      <c r="E104" s="48"/>
    </row>
    <row r="105" spans="1:5" ht="12.95" customHeight="1">
      <c r="A105" s="29">
        <v>80</v>
      </c>
      <c r="B105" s="24">
        <f t="shared" si="8"/>
        <v>0.19999999999999996</v>
      </c>
      <c r="C105" s="25"/>
      <c r="D105" s="47"/>
      <c r="E105" s="48"/>
    </row>
    <row r="106" spans="1:5" ht="12.95" customHeight="1">
      <c r="A106" s="29">
        <v>90</v>
      </c>
      <c r="B106" s="24">
        <f t="shared" si="8"/>
        <v>9.9999999999999978E-2</v>
      </c>
      <c r="C106" s="25"/>
      <c r="D106" s="47"/>
      <c r="E106" s="48"/>
    </row>
    <row r="107" spans="1:5" ht="12.95" customHeight="1" thickBot="1">
      <c r="A107" s="56">
        <v>100</v>
      </c>
      <c r="B107" s="59">
        <f t="shared" si="8"/>
        <v>0</v>
      </c>
      <c r="C107" s="53"/>
      <c r="D107" s="49"/>
      <c r="E107" s="50"/>
    </row>
    <row r="108" spans="1:5" ht="12.95" customHeight="1" thickTop="1"/>
  </sheetData>
  <mergeCells count="4">
    <mergeCell ref="C89:E89"/>
    <mergeCell ref="C7:E7"/>
    <mergeCell ref="C33:E33"/>
    <mergeCell ref="C61:E61"/>
  </mergeCells>
  <phoneticPr fontId="0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Registro</vt:lpstr>
      <vt:lpstr>1-3</vt:lpstr>
      <vt:lpstr>4-7</vt:lpstr>
      <vt:lpstr>8-11</vt:lpstr>
      <vt:lpstr>12-15</vt:lpstr>
      <vt:lpstr>16</vt:lpstr>
      <vt:lpstr>17-23</vt:lpstr>
      <vt:lpstr>24-30</vt:lpstr>
      <vt:lpstr>31</vt:lpstr>
      <vt:lpstr>32-34</vt:lpstr>
      <vt:lpstr>35-39</vt:lpstr>
      <vt:lpstr>40</vt:lpstr>
      <vt:lpstr>41-44</vt:lpstr>
      <vt:lpstr>'1-3'!Área_de_impresión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iapenmal</cp:lastModifiedBy>
  <cp:lastPrinted>2007-06-26T12:05:50Z</cp:lastPrinted>
  <dcterms:created xsi:type="dcterms:W3CDTF">1996-11-27T10:00:04Z</dcterms:created>
  <dcterms:modified xsi:type="dcterms:W3CDTF">2012-12-04T11:10:29Z</dcterms:modified>
</cp:coreProperties>
</file>